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3624" firstSheet="3" activeTab="5"/>
  </bookViews>
  <sheets>
    <sheet name="приложение 1" sheetId="1" r:id="rId1"/>
    <sheet name="приложение 2" sheetId="2" r:id="rId2"/>
    <sheet name="Приложение 2.1 СМП " sheetId="3" r:id="rId3"/>
    <sheet name="Приложение 2.2 АПП" sheetId="4" r:id="rId4"/>
    <sheet name="Приложение 2.3 АПП " sheetId="5" r:id="rId5"/>
    <sheet name="Приложение 2.4 -КС" sheetId="6" r:id="rId6"/>
    <sheet name="Приложение 2.5 -ДС " sheetId="7" r:id="rId7"/>
    <sheet name="приложение 3" sheetId="8" r:id="rId8"/>
    <sheet name="приложение 4" sheetId="9" r:id="rId9"/>
    <sheet name="приложение 5 ИФТП" sheetId="10" r:id="rId10"/>
    <sheet name="Приложение 6 УСТП_2018" sheetId="11" r:id="rId11"/>
  </sheets>
  <definedNames>
    <definedName name="_xlnm.Print_Titles" localSheetId="10">'Приложение 6 УСТП_2018'!$10:$10</definedName>
    <definedName name="_xlnm.Print_Area" localSheetId="0">'приложение 1'!$A$1:$N$15</definedName>
    <definedName name="_xlnm.Print_Area" localSheetId="1">'приложение 2'!$A$1:$O$25</definedName>
    <definedName name="_xlnm.Print_Area" localSheetId="2">'Приложение 2.1 СМП '!$A$1:$E$11</definedName>
    <definedName name="_xlnm.Print_Area" localSheetId="3">'Приложение 2.2 АПП'!$A$1:$N$139</definedName>
    <definedName name="_xlnm.Print_Area" localSheetId="4">'Приложение 2.3 АПП '!$B$1:$F$28</definedName>
    <definedName name="_xlnm.Print_Area" localSheetId="5">'Приложение 2.4 -КС'!$B$1:$I$149</definedName>
    <definedName name="_xlnm.Print_Area" localSheetId="6">'Приложение 2.5 -ДС '!$A$1:$I$29</definedName>
    <definedName name="_xlnm.Print_Area" localSheetId="7">'приложение 3'!$A$1:$G$28</definedName>
    <definedName name="_xlnm.Print_Area" localSheetId="8">'приложение 4'!$A$1:$O$49</definedName>
    <definedName name="_xlnm.Print_Area" localSheetId="10">'Приложение 6 УСТП_2018'!$A$1:$J$46</definedName>
  </definedNames>
  <calcPr fullCalcOnLoad="1"/>
</workbook>
</file>

<file path=xl/sharedStrings.xml><?xml version="1.0" encoding="utf-8"?>
<sst xmlns="http://schemas.openxmlformats.org/spreadsheetml/2006/main" count="589" uniqueCount="299">
  <si>
    <t>кол - во пациенто-дней</t>
  </si>
  <si>
    <t>Итого посещений с профилактической целью</t>
  </si>
  <si>
    <t>Итого посещений по неотложной медицинской помощи</t>
  </si>
  <si>
    <t>3. Стационарная помощь</t>
  </si>
  <si>
    <r>
      <t>9.</t>
    </r>
    <r>
      <rPr>
        <b/>
        <sz val="12"/>
        <rFont val="Times New Roman"/>
        <family val="1"/>
      </rPr>
      <t xml:space="preserve"> Итого </t>
    </r>
    <r>
      <rPr>
        <sz val="12"/>
        <rFont val="Times New Roman"/>
        <family val="1"/>
      </rPr>
      <t xml:space="preserve"> </t>
    </r>
  </si>
  <si>
    <t>обращений</t>
  </si>
  <si>
    <t>случаев госпитализации</t>
  </si>
  <si>
    <t>койко-день</t>
  </si>
  <si>
    <t>ед.изм.</t>
  </si>
  <si>
    <t>бесплатного оказания гражданам  медицинской помощи по условиям ее оказания ( по статьям расходов за счет средств ОМС)</t>
  </si>
  <si>
    <t xml:space="preserve"> застрахованным г.Байконур оказанная помощь в других субъектах РФ, оплачиваемых через ТФОМС города Байконур</t>
  </si>
  <si>
    <t>Скооректированное число посещений на 2016год на 43548 чел.</t>
  </si>
  <si>
    <t>проведение диспансеризации детей-сирот и детей, оставшихся без попечения родителей</t>
  </si>
  <si>
    <t xml:space="preserve">проведение профилактических медицинских осмотров несовершеннолетних </t>
  </si>
  <si>
    <t>всего</t>
  </si>
  <si>
    <t>в том числе</t>
  </si>
  <si>
    <t>взр.</t>
  </si>
  <si>
    <t>детей</t>
  </si>
  <si>
    <t xml:space="preserve">взр. </t>
  </si>
  <si>
    <t xml:space="preserve">взросл. </t>
  </si>
  <si>
    <t>А</t>
  </si>
  <si>
    <t>Кардиология и ревматология</t>
  </si>
  <si>
    <t>Педиатрия</t>
  </si>
  <si>
    <t>Терапия</t>
  </si>
  <si>
    <t>Эндокринология</t>
  </si>
  <si>
    <t>Аллергология и иммунология</t>
  </si>
  <si>
    <t>Гастроэнтерология</t>
  </si>
  <si>
    <t>Неврология</t>
  </si>
  <si>
    <t>Инфекционные болезни</t>
  </si>
  <si>
    <t>Хирургия</t>
  </si>
  <si>
    <t>Урология</t>
  </si>
  <si>
    <t>Онкология</t>
  </si>
  <si>
    <t>Стоматология</t>
  </si>
  <si>
    <t>Акушерство-гинекология</t>
  </si>
  <si>
    <t>Отоларингология</t>
  </si>
  <si>
    <t>Офтальмология</t>
  </si>
  <si>
    <t>Дерматология</t>
  </si>
  <si>
    <t>Посещения центров здоровья</t>
  </si>
  <si>
    <t>Посещения к среднему медперсоналу</t>
  </si>
  <si>
    <t>Разовые посещения по поводу заболевания</t>
  </si>
  <si>
    <t>Итого по Программе ОМС</t>
  </si>
  <si>
    <t>Межтериториальные расчеты</t>
  </si>
  <si>
    <t>Всего по Программе ОМС</t>
  </si>
  <si>
    <t>Круглосуточный стационар</t>
  </si>
  <si>
    <t>в том числе для:</t>
  </si>
  <si>
    <t xml:space="preserve">в том числе </t>
  </si>
  <si>
    <t>Кардиоревматология и ревматология</t>
  </si>
  <si>
    <t>Оториноларингология</t>
  </si>
  <si>
    <t>Межтерриториальные расчеты</t>
  </si>
  <si>
    <t>ВСЕГО по Программе ОМС</t>
  </si>
  <si>
    <t>Среднее число случаев госпитализации за 2012-2014г.г.  по данным МО</t>
  </si>
  <si>
    <t xml:space="preserve">План числа случаев госпитализации на 2014 год по ТП ОМС </t>
  </si>
  <si>
    <t xml:space="preserve">Факт числа случаев госпитализации за 2014г. по данным МО   </t>
  </si>
  <si>
    <t>Факт число случаев госпитализации за 12 месяцев  по счетам из СМО</t>
  </si>
  <si>
    <t>План на 2015 год 42563 чел.</t>
  </si>
  <si>
    <t>Фактически выполнено за 9 месяцев 2015 года</t>
  </si>
  <si>
    <t>Прогноз выполнения за 2015 год</t>
  </si>
  <si>
    <t>застрахованным на территории города Байконур получивших медицинскую помощь в других субъектах Российской Федерации, оплачиваемых через ТФОМС города Байконур</t>
  </si>
  <si>
    <t>взрослых</t>
  </si>
  <si>
    <t>взросл.</t>
  </si>
  <si>
    <t xml:space="preserve">Кардиология </t>
  </si>
  <si>
    <t>Неонатология</t>
  </si>
  <si>
    <t>Травматология и ортопедия (травма.койки)</t>
  </si>
  <si>
    <t xml:space="preserve">Урология </t>
  </si>
  <si>
    <t>Нейрохирургия</t>
  </si>
  <si>
    <t>Челюстно-лицевая хирургия, стоматология</t>
  </si>
  <si>
    <t>Онкология, радиология и радиотерапия</t>
  </si>
  <si>
    <t>Акушерство и гинекология</t>
  </si>
  <si>
    <t xml:space="preserve">Неврология </t>
  </si>
  <si>
    <t xml:space="preserve">Дерматовенерология </t>
  </si>
  <si>
    <t>Акушерство и гинекология (койки для беременных и рожениц)</t>
  </si>
  <si>
    <t>Акушерство и гинекология (койки патологии беременности)</t>
  </si>
  <si>
    <t>Медицинская реабилитация</t>
  </si>
  <si>
    <t>Профиль отделений (коек)</t>
  </si>
  <si>
    <t>Кардиология</t>
  </si>
  <si>
    <t>Травматология</t>
  </si>
  <si>
    <t>Нефрология (гемодиализ)</t>
  </si>
  <si>
    <t xml:space="preserve">Онкология </t>
  </si>
  <si>
    <t>Норматив для медицинской помощи согласно Постановления Правительства РФ №___ от ______________2015г.</t>
  </si>
  <si>
    <t>ФГБУЗ ЦМСЧ №1 ФМБА России</t>
  </si>
  <si>
    <t>Х</t>
  </si>
  <si>
    <t>Скорая медицинская помощь</t>
  </si>
  <si>
    <t>Виды медицинской помощи</t>
  </si>
  <si>
    <t>Амбулаторно-поликлиническая помощь</t>
  </si>
  <si>
    <t>Стационарная помощь</t>
  </si>
  <si>
    <t>Медицинская помощь в дневных стационарах всех типов</t>
  </si>
  <si>
    <t>вызовов</t>
  </si>
  <si>
    <t>обслужено лиц</t>
  </si>
  <si>
    <t>посещений   всего</t>
  </si>
  <si>
    <t>в том числе:</t>
  </si>
  <si>
    <t>койко-дней</t>
  </si>
  <si>
    <t>оказываемой в связи с заболеваниями</t>
  </si>
  <si>
    <t>с профилактической целью</t>
  </si>
  <si>
    <t>оказываемая в неотложной форме</t>
  </si>
  <si>
    <t>- скорая медицинская помощь</t>
  </si>
  <si>
    <t>1.Скорая  медицинская помощь</t>
  </si>
  <si>
    <t>2.Амбулаторно-поликлиническая помощь</t>
  </si>
  <si>
    <t>3.Стационарная помощь</t>
  </si>
  <si>
    <t>4.Медицинская помощь в дневных стационарах всех типов</t>
  </si>
  <si>
    <t>5.Санаторная помощь</t>
  </si>
  <si>
    <t>6. Прочие виды медицинской помощи и иных услуг</t>
  </si>
  <si>
    <t xml:space="preserve">7.Высокотехнологичные виды медицинской помощи </t>
  </si>
  <si>
    <t xml:space="preserve">8. Затраты на ведение дела в системе ОМС </t>
  </si>
  <si>
    <t>Всего</t>
  </si>
  <si>
    <t>в связи с заболеваниями</t>
  </si>
  <si>
    <t>в профилактических целях</t>
  </si>
  <si>
    <t>в связи с оказанием неотложной медицинской помощи</t>
  </si>
  <si>
    <t>финансирование при обеспечении перехода на однаканальное финансирование</t>
  </si>
  <si>
    <t>ВСЕГО ОМС</t>
  </si>
  <si>
    <t>I квартал</t>
  </si>
  <si>
    <t>II квартал</t>
  </si>
  <si>
    <t>III квартал</t>
  </si>
  <si>
    <t>Амбулаторная помощь</t>
  </si>
  <si>
    <r>
      <t>9.</t>
    </r>
    <r>
      <rPr>
        <b/>
        <sz val="10"/>
        <rFont val="Times New Roman"/>
        <family val="1"/>
      </rPr>
      <t xml:space="preserve"> Итого </t>
    </r>
    <r>
      <rPr>
        <sz val="10"/>
        <rFont val="Times New Roman"/>
        <family val="1"/>
      </rPr>
      <t xml:space="preserve"> </t>
    </r>
  </si>
  <si>
    <t>в том числе на медицинской реабилитации</t>
  </si>
  <si>
    <t>Межтерриториальные взаиморасчеты</t>
  </si>
  <si>
    <t>в том числе реабилитация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</si>
  <si>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</si>
  <si>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</si>
  <si>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</si>
  <si>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</si>
  <si>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</si>
  <si>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</si>
  <si>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</si>
  <si>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</si>
  <si>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</si>
  <si>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10</t>
  </si>
  <si>
    <t>№ строки</t>
  </si>
  <si>
    <t>Единица измерения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</si>
  <si>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</si>
  <si>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Стоимость территориальной программы по источникам ее финансового обеспечения</t>
  </si>
  <si>
    <t>руб.</t>
  </si>
  <si>
    <t>в %
к итогу</t>
  </si>
  <si>
    <t>III. Медицинская помощь в рамках территориальной программы ОМС:</t>
  </si>
  <si>
    <t>вызов</t>
  </si>
  <si>
    <t>обращение</t>
  </si>
  <si>
    <t>к/день</t>
  </si>
  <si>
    <t>- в дневных стационарах</t>
  </si>
  <si>
    <t>Всегопо ТП ОМС:</t>
  </si>
  <si>
    <t>кол - во случаев госпитализации</t>
  </si>
  <si>
    <t>2. Медицинская помощь по видам и заболеваниям сверх базовой программы:</t>
  </si>
  <si>
    <t xml:space="preserve">Финансирование </t>
  </si>
  <si>
    <t>2016 год</t>
  </si>
  <si>
    <t>случай госпитализации</t>
  </si>
  <si>
    <t>Травматолог-ортопед</t>
  </si>
  <si>
    <t>посещений</t>
  </si>
  <si>
    <t>объем</t>
  </si>
  <si>
    <t>сумма, руб.</t>
  </si>
  <si>
    <t>Акушерство и гинекология (беременных, рожениц и патология беременных)</t>
  </si>
  <si>
    <t>1) -амбулаторная помощь оказываемая с профилактической целью</t>
  </si>
  <si>
    <t xml:space="preserve">2) - амбулаторная помощь, оказываемая в связи с заболеваниями </t>
  </si>
  <si>
    <t>2017 год</t>
  </si>
  <si>
    <t>Стоимость территориальной программы государственных гарантий всего (сумма строк 02 + 03)
в том числе:</t>
  </si>
  <si>
    <t>01</t>
  </si>
  <si>
    <t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</si>
  <si>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</si>
  <si>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</si>
  <si>
    <t>Утвержденная стоимость территориальной программы государственных гарантий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</si>
  <si>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</si>
  <si>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Подушевые нормативы финансирования территориальной программы</t>
  </si>
  <si>
    <t>за счет средств  бюджета субъекта РФ</t>
  </si>
  <si>
    <t>за счет средств ОМС</t>
  </si>
  <si>
    <t>за счет средств бюджета субъекта РФ</t>
  </si>
  <si>
    <t>средства ОМС</t>
  </si>
  <si>
    <t>- в амбулаторных условиях</t>
  </si>
  <si>
    <t>20</t>
  </si>
  <si>
    <t>21</t>
  </si>
  <si>
    <t>22.1</t>
  </si>
  <si>
    <t>посещение  с профилактической и иными целями</t>
  </si>
  <si>
    <t>22.2</t>
  </si>
  <si>
    <t>посещение по неотложной медицинской помощи</t>
  </si>
  <si>
    <t>22.3</t>
  </si>
  <si>
    <t>- в стационарных условиях (сумма строк 30 + 35), в том числе:</t>
  </si>
  <si>
    <t>23</t>
  </si>
  <si>
    <t xml:space="preserve">     медицинская реабилитация в стационарных условиях  
(сумма строк 30.1 + 35.1)</t>
  </si>
  <si>
    <t>23.1</t>
  </si>
  <si>
    <t xml:space="preserve">     высокотехнологичная медицинская помощь  (сумма строк 30.2 + 35.2)</t>
  </si>
  <si>
    <t>23.2</t>
  </si>
  <si>
    <t>- в дневных стационарах (сумма строк 31 + 36)</t>
  </si>
  <si>
    <t>24</t>
  </si>
  <si>
    <t xml:space="preserve">  - паллиативная медицинская помощь*** (равно строке 37)</t>
  </si>
  <si>
    <t>25</t>
  </si>
  <si>
    <t>26</t>
  </si>
  <si>
    <t>ВСЕГО по ТП ОМС</t>
  </si>
  <si>
    <t>из строки 20:
1. Медицинская помощь, предоставляемая в рамках базовой программы ОМС застрахованным лицам</t>
  </si>
  <si>
    <t>27</t>
  </si>
  <si>
    <t>28</t>
  </si>
  <si>
    <t>29.1</t>
  </si>
  <si>
    <t>29.2</t>
  </si>
  <si>
    <t>29.3</t>
  </si>
  <si>
    <t>- в стационарных условиях, в том числе</t>
  </si>
  <si>
    <t>30</t>
  </si>
  <si>
    <t xml:space="preserve">       медицинская реабилитация в стационарных условиях</t>
  </si>
  <si>
    <t>30.1</t>
  </si>
  <si>
    <t xml:space="preserve">     высокотехнологичная медицинская помощь</t>
  </si>
  <si>
    <t>30.2</t>
  </si>
  <si>
    <t>31</t>
  </si>
  <si>
    <t>32</t>
  </si>
  <si>
    <t>33</t>
  </si>
  <si>
    <t xml:space="preserve">Дневной стационар всех типов  </t>
  </si>
  <si>
    <t>пациенто-дней</t>
  </si>
  <si>
    <t>случаев госпитализации (законченный случай)</t>
  </si>
  <si>
    <t>34.1</t>
  </si>
  <si>
    <t>34.2</t>
  </si>
  <si>
    <t>34.3</t>
  </si>
  <si>
    <t>35</t>
  </si>
  <si>
    <t xml:space="preserve">     медицинская реабилитация в стационарных условиях</t>
  </si>
  <si>
    <t>35.1</t>
  </si>
  <si>
    <t>35.2</t>
  </si>
  <si>
    <t>36</t>
  </si>
  <si>
    <t xml:space="preserve">  - паллиативная медицинская помощь</t>
  </si>
  <si>
    <t>37</t>
  </si>
  <si>
    <t>ИТОГО (сумма строк 01 + 15 + 20)</t>
  </si>
  <si>
    <t>38</t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</si>
  <si>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</t>
  </si>
  <si>
    <t>- скорая медицинская помощь (сумма строк 28+33)</t>
  </si>
  <si>
    <t>проведение профилактических медицинских осмотров взрослого населения</t>
  </si>
  <si>
    <t>проведение диспансеризации отдельных групп взрослого населения</t>
  </si>
  <si>
    <t>Посещения во время приема</t>
  </si>
  <si>
    <t>ФГБУЗ "ЦМСЧ №1 ФМБА России"</t>
  </si>
  <si>
    <t>случаев лечения</t>
  </si>
  <si>
    <t>Итого:</t>
  </si>
  <si>
    <t>Норматив медицинской помощи согласно ПП РФ №</t>
  </si>
  <si>
    <t xml:space="preserve"> гражданам, застрахованным в г.Байконур и получивших медицинскую помощь в других субъектах Российской Федерации, оплачиваемых через ТФОМС </t>
  </si>
  <si>
    <t xml:space="preserve">Амбулаторная помощь </t>
  </si>
  <si>
    <t>в круглосуточном стационаре (законченных случаев)</t>
  </si>
  <si>
    <t>-  по приему посещений (диспансеризация)</t>
  </si>
  <si>
    <t>- по подушевому финансированию</t>
  </si>
  <si>
    <t>IY квартал</t>
  </si>
  <si>
    <t>Скорая медицинская помощь - вызовов</t>
  </si>
  <si>
    <t>в дневном стационаре (случай лечения)</t>
  </si>
  <si>
    <t>691</t>
  </si>
  <si>
    <t>692</t>
  </si>
  <si>
    <t>350</t>
  </si>
  <si>
    <t>- амбулаторная помощь, оказываемая в связи с заболеваниями (обращений)</t>
  </si>
  <si>
    <t>-амбулаторная помощь оказываемая с профилактической целью (посещений)</t>
  </si>
  <si>
    <t>-амбулаторная помощь, оказываемая в неотложной форме (посещений)</t>
  </si>
  <si>
    <t xml:space="preserve"> обращений </t>
  </si>
  <si>
    <t>гражданам, застрахованным на территории субъекта Российской Федерации,  медицинская помощь оказанная в других субъектах РФ</t>
  </si>
  <si>
    <t xml:space="preserve">Всего по ТП ОМС </t>
  </si>
  <si>
    <t>Итого по ТП ОМС:</t>
  </si>
  <si>
    <t>Итого по Программе ОМС для ФГБУЗ ЦМСЧ №1 ФМБА России</t>
  </si>
  <si>
    <t>Профилактические мероприятия</t>
  </si>
  <si>
    <t>случаи госпитализации</t>
  </si>
  <si>
    <t>количество койко-дней</t>
  </si>
  <si>
    <t>случаи лечения</t>
  </si>
  <si>
    <t>пациенто-дни</t>
  </si>
  <si>
    <t>- по услугам (стоматология)</t>
  </si>
  <si>
    <t>в том числе;</t>
  </si>
  <si>
    <t>3) - амбулаторная помощь, оказываемая в неотложной форме</t>
  </si>
  <si>
    <t>* без учета финансовых средств консолидированного бюджета субъекта Российской Федерации на приобретение для медицинских организаций, работающих в системе ОМС (затраты, не вошедшие в тариф).</t>
  </si>
  <si>
    <t>**  указываются расходы консолидированного бюджета субъекта Российской Федерации на приобретение медицинского оборудования для медицинских  организаций, работающих в системе ОМС, сверх  ТПОМС</t>
  </si>
  <si>
    <t>- затраты на ведение дела СМО</t>
  </si>
  <si>
    <t>всего
(тыс. рублей)</t>
  </si>
  <si>
    <t xml:space="preserve">на 1 жителя ( 1 застрахованное лицо) в год (руб.)
</t>
  </si>
  <si>
    <t>1. Средства консолидированного бюджета субъекта Российской Федерации *</t>
  </si>
  <si>
    <t>2. Стоимость территориальной программы всего** (сумма строк 04+08)  в том числе за счет:</t>
  </si>
  <si>
    <t>1. Стоимость  территориальной программы ОМС за счет средств ОМС   в рамках базовой программы (сумма строк 05+06 +07)                                             
в том числе:</t>
  </si>
  <si>
    <t>1.1. субвенции из бюджета ФОМС**</t>
  </si>
  <si>
    <t>2. Межбюджетные трансферты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их них:</t>
  </si>
  <si>
    <t>*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транфертов (строки 06 и 10)</t>
  </si>
  <si>
    <t>** без учета расходов на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"Общегосударственные вопросы".</t>
  </si>
  <si>
    <t xml:space="preserve">Справочно </t>
  </si>
  <si>
    <t xml:space="preserve">на 1 застрахованное лицо (руб.)
</t>
  </si>
  <si>
    <t>Расходы на обеспечение выполнения ТФОМС своих функций</t>
  </si>
  <si>
    <t>тыс. руб.</t>
  </si>
  <si>
    <t>посещение  с профилактическими и иными целями</t>
  </si>
  <si>
    <t>средняя длительность пребывания 1-го пациента в стационаре (дней)</t>
  </si>
  <si>
    <t>средняя длительность пребывания 1-го пациента в дневном стационаре (дней)</t>
  </si>
  <si>
    <t>Распределение объемов медицинской помощи по медицинским организациям на 2018 год</t>
  </si>
  <si>
    <t>Кол-во застрахованных граждан по состоянию на 01.04.2017 (данные из формы №8)</t>
  </si>
  <si>
    <t>Распределение числа посещений оказываемых с профилактической целью и неотложной помощи по специальностям на 2018 год</t>
  </si>
  <si>
    <t>Распределение числа оказываемой помощи в связи с заболеванием (обращений)  по специальностям на 2018 год</t>
  </si>
  <si>
    <t xml:space="preserve">ФГБУЗ ЦМСЧ №1 ФМБА России, оказание медицинской помощи гражданам, застрахованным на территории города Байконур, оплачиваемые через Байконурский филиал "ООО ВТБ МС" </t>
  </si>
  <si>
    <t xml:space="preserve">гражданам, застрахованным на территории города Байконур, оплачиваемые через Байконурский  филиал ОО ВТБ МС" </t>
  </si>
  <si>
    <t xml:space="preserve">                     Распределение числа случаев госпитализации по профилям медицинской помощи оказываемых в стационаре на 2018 год</t>
  </si>
  <si>
    <t xml:space="preserve">                     Распределение числа случаев лечения оказываемых в дневных стационарах всех типов  на 2018 год</t>
  </si>
  <si>
    <t xml:space="preserve"> Распределение стоимости оказываемой медицинской помощи по Территориальной прогамме ОМС на 2018 год</t>
  </si>
  <si>
    <t>Финансирование на 2018 год</t>
  </si>
  <si>
    <t xml:space="preserve">Утвержденная стоимость территориальной программы на 2018 год </t>
  </si>
  <si>
    <t xml:space="preserve"> на 2018  год</t>
  </si>
  <si>
    <t>Челюстно-лицевая хирургия</t>
  </si>
  <si>
    <t xml:space="preserve"> Поквартальное распределение объемов  медицинской помощи по Территориальной программе ОМС на 2018 год</t>
  </si>
  <si>
    <t>Распределение числа вызовов скорой медицинской помощи на 2018 год</t>
  </si>
  <si>
    <t>Ооказание скорой медицинской помощи гражданам, застрахованным на территории города Байконур, количество вызовов</t>
  </si>
  <si>
    <t xml:space="preserve"> ФГБУЗ ЦМСЧ №1 ФМБА России</t>
  </si>
  <si>
    <t xml:space="preserve">  Утвержденная стоимость территориальной программы государственных гарантий бесплатного оказания медицинской помощи по источникам финансового обеспечения на 2018 год</t>
  </si>
  <si>
    <t>в связи с заболеванием</t>
  </si>
  <si>
    <t>Приложение 1
 к протоколу № 12 от "13" декабря 2017 г. 
заседания комиссии по разработке территориальной программы обязательного медицинского страхования</t>
  </si>
  <si>
    <t>Приложение 2
 к протоколу № 12 от " 13 " декабря 2017  г. 
заседания комиссии по разработке территориальной программы обязательного медицинского страхования</t>
  </si>
  <si>
    <t>Приложение 2.1  к протоколу № 12  от "13 " декабря 2017 года                  заседания комиссии по разработке территориальной программы обязательного медицинского страхования</t>
  </si>
  <si>
    <t>Приложение 2.2  к протоколу № 12 от "13 " декабря  2017 г.                          заседания комиссии по разработке территориальной программы обязательного медицинского страхования</t>
  </si>
  <si>
    <t>Приложение 2.3   к протоколу № 12 от " 13 " декабря 2017 года                       заседания комиссии по разработке территориальной программы обязательного медицинского страхования</t>
  </si>
  <si>
    <t>Приложение 2.4 к протоколу № 12 от " 13 " декабря 2017 года                         заседания комиссии по разработке территориальной программы обязательного медицинского страхования</t>
  </si>
  <si>
    <t>Приложение 2.5   к протоколу № 12 от " 13 " декабря  2017 года                                             заседания комиссии по разработке территориальной программы обязательного медицинского страхования</t>
  </si>
  <si>
    <t>Приложение 3
 к протоколу № 12 от " 13 " декабря 2017 года
заседания комиссии по разработке территориальной программы обязательного медицинского страхования</t>
  </si>
  <si>
    <t>Приложение 4                                                                                                                        к протоколу № 12 от " 13 " декабря 2017 года                                                заседания комиссии по разработке территориальной программы обязательного медицинского страхования</t>
  </si>
  <si>
    <t>Приложение 5                                                                       к протоколу № 12 от " 13 " декабря 2017 года    заседания комиссии по разработке территориальной программы обязательного медицинского страхования</t>
  </si>
  <si>
    <t>Приложение 6
 к протоколу № 12 от " 132 " декабря 2017 года 
заседания комиссии по разработке территориальной программы обязательного медицинского страховани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</si>
</sst>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_р_."/>
    <numFmt numFmtId="175" formatCode="#,##0.00000"/>
    <numFmt numFmtId="176" formatCode="#,##0.000000"/>
    <numFmt numFmtId="177" formatCode="0.0000000"/>
    <numFmt numFmtId="178" formatCode="0.0000"/>
    <numFmt numFmtId="179" formatCode="0.000"/>
    <numFmt numFmtId="180" formatCode="0.00000"/>
    <numFmt numFmtId="181" formatCode="0.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70">
    <xf numFmtId="0" fontId="0" fillId="0" borderId="0" xfId="0" applyFont="1" applyAlignment="1">
      <alignment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2" fillId="0" borderId="0" xfId="54" applyFont="1" applyFill="1" applyAlignment="1">
      <alignment horizontal="left" vertical="center"/>
      <protection/>
    </xf>
    <xf numFmtId="0" fontId="3" fillId="0" borderId="0" xfId="54" applyFont="1" applyFill="1" applyAlignment="1">
      <alignment horizontal="left" vertical="center"/>
      <protection/>
    </xf>
    <xf numFmtId="3" fontId="3" fillId="0" borderId="0" xfId="0" applyNumberFormat="1" applyFont="1" applyFill="1" applyAlignment="1">
      <alignment vertical="justify"/>
    </xf>
    <xf numFmtId="4" fontId="3" fillId="0" borderId="0" xfId="0" applyNumberFormat="1" applyFont="1" applyFill="1" applyAlignment="1">
      <alignment vertical="justify"/>
    </xf>
    <xf numFmtId="172" fontId="3" fillId="0" borderId="0" xfId="0" applyNumberFormat="1" applyFont="1" applyFill="1" applyAlignment="1">
      <alignment vertical="justify"/>
    </xf>
    <xf numFmtId="1" fontId="3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4" fontId="3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justify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justify"/>
    </xf>
    <xf numFmtId="4" fontId="2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vertical="justify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3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3" fillId="0" borderId="13" xfId="54" applyNumberFormat="1" applyFont="1" applyFill="1" applyBorder="1" applyAlignment="1">
      <alignment horizontal="center" vertical="center"/>
      <protection/>
    </xf>
    <xf numFmtId="173" fontId="3" fillId="0" borderId="13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3" fontId="9" fillId="0" borderId="0" xfId="0" applyNumberFormat="1" applyFont="1" applyFill="1" applyAlignment="1">
      <alignment/>
    </xf>
    <xf numFmtId="0" fontId="3" fillId="0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 vertical="center"/>
      <protection/>
    </xf>
    <xf numFmtId="0" fontId="3" fillId="0" borderId="0" xfId="54" applyFont="1" applyFill="1" applyBorder="1" applyAlignment="1">
      <alignment vertical="center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49" fontId="3" fillId="0" borderId="13" xfId="54" applyNumberFormat="1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0" xfId="54" applyNumberFormat="1" applyFont="1" applyFill="1" applyBorder="1" applyAlignment="1">
      <alignment horizontal="center" vertical="top"/>
      <protection/>
    </xf>
    <xf numFmtId="49" fontId="2" fillId="0" borderId="13" xfId="54" applyNumberFormat="1" applyFont="1" applyFill="1" applyBorder="1" applyAlignment="1">
      <alignment vertical="center"/>
      <protection/>
    </xf>
    <xf numFmtId="49" fontId="3" fillId="0" borderId="13" xfId="54" applyNumberFormat="1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vertical="center"/>
      <protection/>
    </xf>
    <xf numFmtId="4" fontId="3" fillId="0" borderId="13" xfId="54" applyNumberFormat="1" applyFont="1" applyFill="1" applyBorder="1" applyAlignment="1">
      <alignment vertical="center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4" fontId="3" fillId="0" borderId="13" xfId="60" applyNumberFormat="1" applyFont="1" applyFill="1" applyBorder="1" applyAlignment="1">
      <alignment vertical="center" wrapText="1"/>
      <protection/>
    </xf>
    <xf numFmtId="173" fontId="3" fillId="0" borderId="13" xfId="54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justify"/>
    </xf>
    <xf numFmtId="4" fontId="2" fillId="0" borderId="10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/>
    </xf>
    <xf numFmtId="174" fontId="18" fillId="0" borderId="14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8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9" fontId="18" fillId="0" borderId="16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49" fontId="19" fillId="0" borderId="16" xfId="0" applyNumberFormat="1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vertical="justify"/>
    </xf>
    <xf numFmtId="4" fontId="10" fillId="0" borderId="0" xfId="0" applyNumberFormat="1" applyFont="1" applyFill="1" applyAlignment="1">
      <alignment vertical="justify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9" fillId="0" borderId="25" xfId="0" applyFont="1" applyFill="1" applyBorder="1" applyAlignment="1">
      <alignment horizontal="center" wrapText="1"/>
    </xf>
    <xf numFmtId="174" fontId="18" fillId="0" borderId="0" xfId="0" applyNumberFormat="1" applyFont="1" applyFill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174" fontId="18" fillId="0" borderId="30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174" fontId="18" fillId="0" borderId="14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174" fontId="18" fillId="0" borderId="31" xfId="0" applyNumberFormat="1" applyFont="1" applyFill="1" applyBorder="1" applyAlignment="1">
      <alignment horizontal="center"/>
    </xf>
    <xf numFmtId="174" fontId="19" fillId="0" borderId="28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2" fontId="18" fillId="0" borderId="3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9" fillId="0" borderId="33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justify" indent="1"/>
    </xf>
    <xf numFmtId="0" fontId="7" fillId="0" borderId="35" xfId="0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vertical="center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4" fontId="11" fillId="0" borderId="32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179" fontId="3" fillId="0" borderId="0" xfId="54" applyNumberFormat="1" applyFont="1" applyFill="1" applyAlignment="1">
      <alignment horizontal="left"/>
      <protection/>
    </xf>
    <xf numFmtId="179" fontId="2" fillId="0" borderId="13" xfId="54" applyNumberFormat="1" applyFont="1" applyFill="1" applyBorder="1" applyAlignment="1">
      <alignment vertical="center" wrapText="1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justify" wrapText="1"/>
    </xf>
    <xf numFmtId="0" fontId="13" fillId="0" borderId="0" xfId="54" applyNumberFormat="1" applyFont="1" applyBorder="1" applyAlignment="1">
      <alignment vertical="center" wrapTex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1" fillId="0" borderId="0" xfId="54" applyFont="1" applyBorder="1" applyAlignment="1">
      <alignment vertical="center"/>
      <protection/>
    </xf>
    <xf numFmtId="0" fontId="14" fillId="0" borderId="0" xfId="54" applyNumberFormat="1" applyFont="1" applyBorder="1" applyAlignment="1">
      <alignment vertical="top" wrapText="1"/>
      <protection/>
    </xf>
    <xf numFmtId="0" fontId="2" fillId="0" borderId="41" xfId="54" applyFont="1" applyBorder="1" applyAlignment="1">
      <alignment wrapText="1"/>
      <protection/>
    </xf>
    <xf numFmtId="0" fontId="16" fillId="0" borderId="41" xfId="54" applyFont="1" applyBorder="1" applyAlignment="1">
      <alignment wrapText="1"/>
      <protection/>
    </xf>
    <xf numFmtId="0" fontId="16" fillId="0" borderId="41" xfId="54" applyFont="1" applyFill="1" applyBorder="1" applyAlignment="1">
      <alignment wrapText="1"/>
      <protection/>
    </xf>
    <xf numFmtId="0" fontId="3" fillId="0" borderId="41" xfId="54" applyFont="1" applyFill="1" applyBorder="1" applyAlignment="1">
      <alignment vertical="center" wrapText="1"/>
      <protection/>
    </xf>
    <xf numFmtId="0" fontId="3" fillId="0" borderId="41" xfId="54" applyFont="1" applyBorder="1" applyAlignment="1">
      <alignment wrapText="1"/>
      <protection/>
    </xf>
    <xf numFmtId="49" fontId="3" fillId="0" borderId="13" xfId="54" applyNumberFormat="1" applyFont="1" applyBorder="1" applyAlignment="1">
      <alignment horizontal="center" vertical="top"/>
      <protection/>
    </xf>
    <xf numFmtId="4" fontId="13" fillId="0" borderId="10" xfId="60" applyNumberFormat="1" applyFont="1" applyBorder="1" applyAlignment="1">
      <alignment/>
      <protection/>
    </xf>
    <xf numFmtId="2" fontId="10" fillId="0" borderId="10" xfId="60" applyNumberFormat="1" applyFont="1" applyFill="1" applyBorder="1" applyAlignment="1">
      <alignment wrapText="1"/>
      <protection/>
    </xf>
    <xf numFmtId="0" fontId="13" fillId="0" borderId="10" xfId="54" applyFont="1" applyBorder="1" applyAlignment="1">
      <alignment wrapText="1"/>
      <protection/>
    </xf>
    <xf numFmtId="4" fontId="13" fillId="0" borderId="10" xfId="54" applyNumberFormat="1" applyFont="1" applyBorder="1" applyAlignment="1">
      <alignment wrapText="1"/>
      <protection/>
    </xf>
    <xf numFmtId="4" fontId="22" fillId="0" borderId="10" xfId="54" applyNumberFormat="1" applyFont="1" applyBorder="1" applyAlignment="1">
      <alignment wrapText="1"/>
      <protection/>
    </xf>
    <xf numFmtId="2" fontId="22" fillId="0" borderId="10" xfId="54" applyNumberFormat="1" applyFont="1" applyBorder="1" applyAlignment="1">
      <alignment wrapText="1"/>
      <protection/>
    </xf>
    <xf numFmtId="2" fontId="22" fillId="0" borderId="10" xfId="54" applyNumberFormat="1" applyFont="1" applyFill="1" applyBorder="1" applyAlignment="1">
      <alignment wrapText="1"/>
      <protection/>
    </xf>
    <xf numFmtId="2" fontId="10" fillId="0" borderId="10" xfId="54" applyNumberFormat="1" applyFont="1" applyFill="1" applyBorder="1" applyAlignment="1">
      <alignment vertical="center" wrapText="1"/>
      <protection/>
    </xf>
    <xf numFmtId="173" fontId="3" fillId="0" borderId="0" xfId="54" applyNumberFormat="1" applyFont="1" applyBorder="1" applyAlignment="1">
      <alignment vertical="top"/>
      <protection/>
    </xf>
    <xf numFmtId="0" fontId="2" fillId="0" borderId="0" xfId="54" applyFont="1" applyBorder="1" applyAlignment="1">
      <alignment wrapText="1"/>
      <protection/>
    </xf>
    <xf numFmtId="0" fontId="15" fillId="0" borderId="0" xfId="60" applyFont="1" applyBorder="1" applyAlignment="1">
      <alignment/>
      <protection/>
    </xf>
    <xf numFmtId="0" fontId="16" fillId="0" borderId="0" xfId="54" applyFont="1" applyBorder="1" applyAlignment="1">
      <alignment wrapText="1"/>
      <protection/>
    </xf>
    <xf numFmtId="0" fontId="16" fillId="0" borderId="0" xfId="54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0" fontId="3" fillId="0" borderId="0" xfId="54" applyFont="1" applyFill="1" applyBorder="1" applyAlignment="1">
      <alignment vertical="center" wrapText="1"/>
      <protection/>
    </xf>
    <xf numFmtId="49" fontId="3" fillId="0" borderId="25" xfId="54" applyNumberFormat="1" applyFont="1" applyBorder="1" applyAlignment="1">
      <alignment horizontal="center" vertical="top"/>
      <protection/>
    </xf>
    <xf numFmtId="2" fontId="10" fillId="0" borderId="19" xfId="54" applyNumberFormat="1" applyFont="1" applyFill="1" applyBorder="1" applyAlignment="1">
      <alignment vertical="center" wrapText="1"/>
      <protection/>
    </xf>
    <xf numFmtId="0" fontId="2" fillId="0" borderId="42" xfId="54" applyFont="1" applyBorder="1" applyAlignment="1">
      <alignment horizontal="left" wrapText="1"/>
      <protection/>
    </xf>
    <xf numFmtId="49" fontId="3" fillId="0" borderId="23" xfId="54" applyNumberFormat="1" applyFont="1" applyBorder="1" applyAlignment="1">
      <alignment horizontal="center" vertical="top"/>
      <protection/>
    </xf>
    <xf numFmtId="4" fontId="13" fillId="0" borderId="22" xfId="54" applyNumberFormat="1" applyFont="1" applyBorder="1" applyAlignment="1">
      <alignment vertical="top"/>
      <protection/>
    </xf>
    <xf numFmtId="0" fontId="13" fillId="0" borderId="35" xfId="54" applyNumberFormat="1" applyFont="1" applyBorder="1" applyAlignment="1">
      <alignment horizontal="center" vertical="center" wrapText="1"/>
      <protection/>
    </xf>
    <xf numFmtId="0" fontId="2" fillId="0" borderId="43" xfId="54" applyNumberFormat="1" applyFont="1" applyBorder="1" applyAlignment="1">
      <alignment horizontal="center" vertical="center" wrapText="1"/>
      <protection/>
    </xf>
    <xf numFmtId="0" fontId="2" fillId="0" borderId="39" xfId="54" applyNumberFormat="1" applyFont="1" applyBorder="1" applyAlignment="1">
      <alignment horizontal="center" vertical="center" wrapText="1"/>
      <protection/>
    </xf>
    <xf numFmtId="179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" fontId="26" fillId="0" borderId="35" xfId="0" applyNumberFormat="1" applyFont="1" applyFill="1" applyBorder="1" applyAlignment="1">
      <alignment horizontal="center" wrapText="1"/>
    </xf>
    <xf numFmtId="1" fontId="26" fillId="0" borderId="38" xfId="0" applyNumberFormat="1" applyFont="1" applyFill="1" applyBorder="1" applyAlignment="1">
      <alignment horizontal="center" wrapText="1"/>
    </xf>
    <xf numFmtId="1" fontId="26" fillId="0" borderId="43" xfId="0" applyNumberFormat="1" applyFont="1" applyFill="1" applyBorder="1" applyAlignment="1">
      <alignment horizontal="center" wrapText="1"/>
    </xf>
    <xf numFmtId="1" fontId="26" fillId="0" borderId="39" xfId="0" applyNumberFormat="1" applyFont="1" applyFill="1" applyBorder="1" applyAlignment="1">
      <alignment horizontal="center" wrapText="1"/>
    </xf>
    <xf numFmtId="1" fontId="10" fillId="0" borderId="22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13" fillId="0" borderId="35" xfId="0" applyNumberFormat="1" applyFont="1" applyBorder="1" applyAlignment="1">
      <alignment horizontal="center"/>
    </xf>
    <xf numFmtId="1" fontId="13" fillId="0" borderId="38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" fontId="13" fillId="0" borderId="36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wrapText="1"/>
    </xf>
    <xf numFmtId="0" fontId="13" fillId="34" borderId="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wrapText="1"/>
    </xf>
    <xf numFmtId="1" fontId="7" fillId="0" borderId="35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1" fontId="11" fillId="0" borderId="45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justify" wrapText="1"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34" borderId="5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vertical="center" wrapText="1"/>
    </xf>
    <xf numFmtId="0" fontId="27" fillId="34" borderId="38" xfId="0" applyFont="1" applyFill="1" applyBorder="1" applyAlignment="1">
      <alignment horizontal="center" vertical="center" wrapText="1"/>
    </xf>
    <xf numFmtId="0" fontId="27" fillId="34" borderId="39" xfId="0" applyFont="1" applyFill="1" applyBorder="1" applyAlignment="1">
      <alignment horizontal="center" vertical="center" wrapText="1"/>
    </xf>
    <xf numFmtId="0" fontId="27" fillId="34" borderId="43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9" fillId="34" borderId="21" xfId="0" applyFont="1" applyFill="1" applyBorder="1" applyAlignment="1">
      <alignment horizontal="left" vertical="center" wrapText="1"/>
    </xf>
    <xf numFmtId="1" fontId="29" fillId="34" borderId="22" xfId="0" applyNumberFormat="1" applyFont="1" applyFill="1" applyBorder="1" applyAlignment="1" applyProtection="1">
      <alignment horizontal="center" vertical="center" wrapText="1"/>
      <protection/>
    </xf>
    <xf numFmtId="1" fontId="7" fillId="35" borderId="40" xfId="0" applyNumberFormat="1" applyFont="1" applyFill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82" fontId="7" fillId="36" borderId="32" xfId="0" applyNumberFormat="1" applyFont="1" applyFill="1" applyBorder="1" applyAlignment="1">
      <alignment horizontal="center"/>
    </xf>
    <xf numFmtId="182" fontId="11" fillId="0" borderId="22" xfId="0" applyNumberFormat="1" applyFont="1" applyBorder="1" applyAlignment="1">
      <alignment horizontal="center"/>
    </xf>
    <xf numFmtId="182" fontId="11" fillId="0" borderId="23" xfId="0" applyNumberFormat="1" applyFont="1" applyBorder="1" applyAlignment="1">
      <alignment horizontal="center"/>
    </xf>
    <xf numFmtId="1" fontId="27" fillId="35" borderId="40" xfId="0" applyNumberFormat="1" applyFont="1" applyFill="1" applyBorder="1" applyAlignment="1" applyProtection="1">
      <alignment horizontal="center" vertical="center" wrapText="1"/>
      <protection/>
    </xf>
    <xf numFmtId="1" fontId="29" fillId="34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0" fontId="29" fillId="34" borderId="16" xfId="0" applyFont="1" applyFill="1" applyBorder="1" applyAlignment="1">
      <alignment horizontal="left" vertical="center" wrapText="1"/>
    </xf>
    <xf numFmtId="1" fontId="29" fillId="34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5" xfId="0" applyNumberFormat="1" applyFont="1" applyFill="1" applyBorder="1" applyAlignment="1">
      <alignment horizontal="center"/>
    </xf>
    <xf numFmtId="182" fontId="7" fillId="36" borderId="12" xfId="0" applyNumberFormat="1" applyFont="1" applyFill="1" applyBorder="1" applyAlignment="1">
      <alignment horizontal="center"/>
    </xf>
    <xf numFmtId="182" fontId="11" fillId="0" borderId="10" xfId="0" applyNumberFormat="1" applyFont="1" applyBorder="1" applyAlignment="1">
      <alignment horizontal="center"/>
    </xf>
    <xf numFmtId="182" fontId="11" fillId="0" borderId="13" xfId="0" applyNumberFormat="1" applyFont="1" applyBorder="1" applyAlignment="1">
      <alignment horizontal="center"/>
    </xf>
    <xf numFmtId="1" fontId="27" fillId="35" borderId="15" xfId="0" applyNumberFormat="1" applyFont="1" applyFill="1" applyBorder="1" applyAlignment="1" applyProtection="1">
      <alignment horizontal="center" vertical="center" wrapText="1"/>
      <protection/>
    </xf>
    <xf numFmtId="1" fontId="29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7" fillId="35" borderId="15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82" fontId="7" fillId="36" borderId="12" xfId="0" applyNumberFormat="1" applyFont="1" applyFill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horizontal="center" vertical="center"/>
    </xf>
    <xf numFmtId="0" fontId="29" fillId="34" borderId="52" xfId="0" applyFont="1" applyFill="1" applyBorder="1" applyAlignment="1">
      <alignment horizontal="left" vertical="center" wrapText="1"/>
    </xf>
    <xf numFmtId="1" fontId="29" fillId="34" borderId="34" xfId="0" applyNumberFormat="1" applyFont="1" applyFill="1" applyBorder="1" applyAlignment="1" applyProtection="1">
      <alignment horizontal="center" vertical="center" wrapText="1"/>
      <protection/>
    </xf>
    <xf numFmtId="1" fontId="7" fillId="35" borderId="53" xfId="0" applyNumberFormat="1" applyFont="1" applyFill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82" fontId="7" fillId="36" borderId="46" xfId="0" applyNumberFormat="1" applyFont="1" applyFill="1" applyBorder="1" applyAlignment="1">
      <alignment horizontal="center" vertical="center"/>
    </xf>
    <xf numFmtId="182" fontId="11" fillId="0" borderId="34" xfId="0" applyNumberFormat="1" applyFont="1" applyBorder="1" applyAlignment="1">
      <alignment horizontal="center" vertical="center"/>
    </xf>
    <xf numFmtId="182" fontId="11" fillId="0" borderId="47" xfId="0" applyNumberFormat="1" applyFont="1" applyBorder="1" applyAlignment="1">
      <alignment horizontal="center" vertical="center"/>
    </xf>
    <xf numFmtId="1" fontId="27" fillId="35" borderId="53" xfId="0" applyNumberFormat="1" applyFont="1" applyFill="1" applyBorder="1" applyAlignment="1" applyProtection="1">
      <alignment horizontal="center" vertical="center" wrapText="1"/>
      <protection/>
    </xf>
    <xf numFmtId="1" fontId="29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11" fillId="0" borderId="48" xfId="0" applyNumberFormat="1" applyFont="1" applyBorder="1" applyAlignment="1">
      <alignment horizontal="center"/>
    </xf>
    <xf numFmtId="1" fontId="7" fillId="35" borderId="34" xfId="0" applyNumberFormat="1" applyFont="1" applyFill="1" applyBorder="1" applyAlignment="1">
      <alignment horizontal="center" vertical="center"/>
    </xf>
    <xf numFmtId="182" fontId="7" fillId="36" borderId="34" xfId="0" applyNumberFormat="1" applyFont="1" applyFill="1" applyBorder="1" applyAlignment="1">
      <alignment horizontal="center" vertical="center"/>
    </xf>
    <xf numFmtId="1" fontId="27" fillId="35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/>
    </xf>
    <xf numFmtId="0" fontId="27" fillId="34" borderId="55" xfId="0" applyFont="1" applyFill="1" applyBorder="1" applyAlignment="1">
      <alignment horizontal="left" vertical="center" wrapText="1"/>
    </xf>
    <xf numFmtId="1" fontId="27" fillId="34" borderId="56" xfId="0" applyNumberFormat="1" applyFont="1" applyFill="1" applyBorder="1" applyAlignment="1" applyProtection="1">
      <alignment horizontal="center" vertical="center" wrapText="1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82" fontId="7" fillId="36" borderId="58" xfId="0" applyNumberFormat="1" applyFont="1" applyFill="1" applyBorder="1" applyAlignment="1">
      <alignment horizontal="center" vertical="center"/>
    </xf>
    <xf numFmtId="182" fontId="7" fillId="0" borderId="56" xfId="0" applyNumberFormat="1" applyFont="1" applyBorder="1" applyAlignment="1">
      <alignment horizontal="center" vertical="center"/>
    </xf>
    <xf numFmtId="182" fontId="7" fillId="0" borderId="59" xfId="0" applyNumberFormat="1" applyFont="1" applyBorder="1" applyAlignment="1">
      <alignment horizontal="center" vertical="center"/>
    </xf>
    <xf numFmtId="1" fontId="27" fillId="35" borderId="55" xfId="0" applyNumberFormat="1" applyFont="1" applyFill="1" applyBorder="1" applyAlignment="1" applyProtection="1">
      <alignment horizontal="center" vertical="center" wrapText="1"/>
      <protection/>
    </xf>
    <xf numFmtId="1" fontId="27" fillId="34" borderId="57" xfId="0" applyNumberFormat="1" applyFont="1" applyFill="1" applyBorder="1" applyAlignment="1" applyProtection="1">
      <alignment horizontal="center" vertical="center" wrapText="1"/>
      <protection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35" borderId="56" xfId="0" applyNumberFormat="1" applyFont="1" applyFill="1" applyBorder="1" applyAlignment="1">
      <alignment horizontal="center" vertical="center"/>
    </xf>
    <xf numFmtId="182" fontId="7" fillId="36" borderId="56" xfId="0" applyNumberFormat="1" applyFont="1" applyFill="1" applyBorder="1" applyAlignment="1">
      <alignment horizontal="center" vertical="center"/>
    </xf>
    <xf numFmtId="1" fontId="27" fillId="35" borderId="56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34" borderId="35" xfId="0" applyFont="1" applyFill="1" applyBorder="1" applyAlignment="1">
      <alignment horizontal="center" wrapText="1"/>
    </xf>
    <xf numFmtId="0" fontId="13" fillId="34" borderId="38" xfId="0" applyFont="1" applyFill="1" applyBorder="1" applyAlignment="1">
      <alignment horizontal="center" wrapText="1"/>
    </xf>
    <xf numFmtId="0" fontId="13" fillId="34" borderId="39" xfId="0" applyFont="1" applyFill="1" applyBorder="1" applyAlignment="1">
      <alignment horizontal="center" wrapText="1"/>
    </xf>
    <xf numFmtId="0" fontId="13" fillId="34" borderId="35" xfId="0" applyFont="1" applyFill="1" applyBorder="1" applyAlignment="1">
      <alignment horizontal="center" wrapText="1"/>
    </xf>
    <xf numFmtId="0" fontId="11" fillId="34" borderId="33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5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178" fontId="10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1" fontId="7" fillId="3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82" fontId="7" fillId="36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" fontId="27" fillId="35" borderId="0" xfId="0" applyNumberFormat="1" applyFont="1" applyFill="1" applyBorder="1" applyAlignment="1" applyProtection="1">
      <alignment horizontal="center" vertical="center" wrapText="1"/>
      <protection/>
    </xf>
    <xf numFmtId="1" fontId="2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27" fillId="34" borderId="0" xfId="0" applyFont="1" applyFill="1" applyBorder="1" applyAlignment="1" applyProtection="1">
      <alignment vertical="center" wrapText="1"/>
      <protection locked="0"/>
    </xf>
    <xf numFmtId="3" fontId="19" fillId="0" borderId="61" xfId="0" applyNumberFormat="1" applyFont="1" applyFill="1" applyBorder="1" applyAlignment="1">
      <alignment horizontal="center"/>
    </xf>
    <xf numFmtId="3" fontId="19" fillId="0" borderId="62" xfId="0" applyNumberFormat="1" applyFont="1" applyFill="1" applyBorder="1" applyAlignment="1">
      <alignment horizontal="center"/>
    </xf>
    <xf numFmtId="3" fontId="19" fillId="0" borderId="6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horizontal="center" vertical="center" wrapText="1"/>
    </xf>
    <xf numFmtId="3" fontId="18" fillId="0" borderId="6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7" fillId="0" borderId="67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wrapText="1"/>
    </xf>
    <xf numFmtId="1" fontId="7" fillId="0" borderId="68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 wrapText="1"/>
    </xf>
    <xf numFmtId="1" fontId="13" fillId="0" borderId="40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justify" wrapText="1"/>
    </xf>
    <xf numFmtId="0" fontId="10" fillId="0" borderId="52" xfId="0" applyFont="1" applyFill="1" applyBorder="1" applyAlignment="1">
      <alignment horizontal="left" vertical="center" wrapText="1"/>
    </xf>
    <xf numFmtId="1" fontId="10" fillId="0" borderId="54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1" fontId="13" fillId="0" borderId="71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1" fontId="11" fillId="0" borderId="72" xfId="0" applyNumberFormat="1" applyFont="1" applyFill="1" applyBorder="1" applyAlignment="1">
      <alignment horizontal="center"/>
    </xf>
    <xf numFmtId="1" fontId="11" fillId="0" borderId="45" xfId="0" applyNumberFormat="1" applyFont="1" applyFill="1" applyBorder="1" applyAlignment="1">
      <alignment horizontal="center"/>
    </xf>
    <xf numFmtId="9" fontId="2" fillId="0" borderId="10" xfId="54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9" fontId="3" fillId="0" borderId="10" xfId="54" applyNumberFormat="1" applyFont="1" applyFill="1" applyBorder="1" applyAlignment="1">
      <alignment horizontal="center" vertical="center"/>
      <protection/>
    </xf>
    <xf numFmtId="0" fontId="9" fillId="0" borderId="73" xfId="0" applyFont="1" applyFill="1" applyBorder="1" applyAlignment="1">
      <alignment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/>
    </xf>
    <xf numFmtId="0" fontId="19" fillId="0" borderId="74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1" fontId="19" fillId="0" borderId="71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1" fontId="7" fillId="0" borderId="26" xfId="0" applyNumberFormat="1" applyFont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wrapText="1"/>
    </xf>
    <xf numFmtId="3" fontId="7" fillId="0" borderId="39" xfId="0" applyNumberFormat="1" applyFont="1" applyBorder="1" applyAlignment="1">
      <alignment horizontal="center"/>
    </xf>
    <xf numFmtId="0" fontId="11" fillId="0" borderId="64" xfId="0" applyFont="1" applyFill="1" applyBorder="1" applyAlignment="1">
      <alignment horizontal="center" wrapText="1"/>
    </xf>
    <xf numFmtId="1" fontId="11" fillId="0" borderId="19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wrapText="1"/>
    </xf>
    <xf numFmtId="1" fontId="7" fillId="0" borderId="35" xfId="0" applyNumberFormat="1" applyFont="1" applyFill="1" applyBorder="1" applyAlignment="1">
      <alignment horizontal="center" wrapText="1"/>
    </xf>
    <xf numFmtId="1" fontId="7" fillId="0" borderId="38" xfId="0" applyNumberFormat="1" applyFont="1" applyFill="1" applyBorder="1" applyAlignment="1">
      <alignment horizontal="center" wrapText="1"/>
    </xf>
    <xf numFmtId="1" fontId="7" fillId="0" borderId="39" xfId="0" applyNumberFormat="1" applyFont="1" applyFill="1" applyBorder="1" applyAlignment="1">
      <alignment horizontal="center" wrapText="1"/>
    </xf>
    <xf numFmtId="1" fontId="7" fillId="0" borderId="36" xfId="0" applyNumberFormat="1" applyFont="1" applyFill="1" applyBorder="1" applyAlignment="1">
      <alignment horizontal="center" wrapText="1"/>
    </xf>
    <xf numFmtId="1" fontId="7" fillId="0" borderId="37" xfId="0" applyNumberFormat="1" applyFont="1" applyFill="1" applyBorder="1" applyAlignment="1">
      <alignment horizontal="center" wrapText="1"/>
    </xf>
    <xf numFmtId="0" fontId="11" fillId="0" borderId="42" xfId="0" applyFont="1" applyFill="1" applyBorder="1" applyAlignment="1">
      <alignment wrapText="1"/>
    </xf>
    <xf numFmtId="1" fontId="11" fillId="0" borderId="32" xfId="0" applyNumberFormat="1" applyFont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11" fillId="0" borderId="69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wrapText="1"/>
    </xf>
    <xf numFmtId="1" fontId="7" fillId="0" borderId="15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wrapText="1"/>
    </xf>
    <xf numFmtId="1" fontId="11" fillId="0" borderId="54" xfId="0" applyNumberFormat="1" applyFont="1" applyFill="1" applyBorder="1" applyAlignment="1">
      <alignment horizontal="center"/>
    </xf>
    <xf numFmtId="1" fontId="11" fillId="0" borderId="7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62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wrapText="1"/>
    </xf>
    <xf numFmtId="1" fontId="7" fillId="0" borderId="53" xfId="0" applyNumberFormat="1" applyFont="1" applyBorder="1" applyAlignment="1">
      <alignment horizontal="center"/>
    </xf>
    <xf numFmtId="1" fontId="11" fillId="0" borderId="46" xfId="0" applyNumberFormat="1" applyFont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1" fontId="11" fillId="0" borderId="75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1" fontId="11" fillId="0" borderId="38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11" fillId="0" borderId="64" xfId="0" applyFont="1" applyFill="1" applyBorder="1" applyAlignment="1">
      <alignment wrapText="1"/>
    </xf>
    <xf numFmtId="1" fontId="7" fillId="0" borderId="64" xfId="0" applyNumberFormat="1" applyFont="1" applyBorder="1" applyAlignment="1">
      <alignment horizontal="center"/>
    </xf>
    <xf numFmtId="1" fontId="11" fillId="0" borderId="49" xfId="0" applyNumberFormat="1" applyFont="1" applyBorder="1" applyAlignment="1">
      <alignment horizontal="center"/>
    </xf>
    <xf numFmtId="1" fontId="11" fillId="0" borderId="6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71" xfId="0" applyFont="1" applyFill="1" applyBorder="1" applyAlignment="1">
      <alignment vertical="center" wrapText="1"/>
    </xf>
    <xf numFmtId="1" fontId="7" fillId="0" borderId="71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71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0" fontId="28" fillId="0" borderId="35" xfId="0" applyFont="1" applyBorder="1" applyAlignment="1">
      <alignment horizontal="center"/>
    </xf>
    <xf numFmtId="0" fontId="27" fillId="34" borderId="74" xfId="0" applyFont="1" applyFill="1" applyBorder="1" applyAlignment="1">
      <alignment horizontal="left" vertical="center" wrapText="1"/>
    </xf>
    <xf numFmtId="0" fontId="13" fillId="34" borderId="74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2" fillId="0" borderId="45" xfId="54" applyNumberFormat="1" applyFont="1" applyBorder="1" applyAlignment="1">
      <alignment horizontal="center" vertical="top" wrapText="1"/>
      <protection/>
    </xf>
    <xf numFmtId="0" fontId="16" fillId="0" borderId="41" xfId="54" applyFont="1" applyFill="1" applyBorder="1" applyAlignment="1">
      <alignment vertical="center" wrapText="1"/>
      <protection/>
    </xf>
    <xf numFmtId="0" fontId="16" fillId="0" borderId="29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top" wrapText="1"/>
      <protection/>
    </xf>
    <xf numFmtId="0" fontId="3" fillId="0" borderId="0" xfId="54" applyFont="1" applyFill="1" applyAlignment="1">
      <alignment wrapText="1"/>
      <protection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49" fontId="3" fillId="0" borderId="34" xfId="54" applyNumberFormat="1" applyFont="1" applyFill="1" applyBorder="1" applyAlignment="1">
      <alignment vertical="center" wrapText="1"/>
      <protection/>
    </xf>
    <xf numFmtId="49" fontId="3" fillId="0" borderId="76" xfId="54" applyNumberFormat="1" applyFont="1" applyFill="1" applyBorder="1" applyAlignment="1">
      <alignment vertical="center" wrapText="1"/>
      <protection/>
    </xf>
    <xf numFmtId="49" fontId="3" fillId="0" borderId="22" xfId="54" applyNumberFormat="1" applyFont="1" applyFill="1" applyBorder="1" applyAlignment="1">
      <alignment vertical="center" wrapText="1"/>
      <protection/>
    </xf>
    <xf numFmtId="0" fontId="3" fillId="0" borderId="0" xfId="54" applyFont="1" applyFill="1" applyAlignment="1">
      <alignment horizont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3" fillId="0" borderId="13" xfId="54" applyNumberFormat="1" applyFont="1" applyFill="1" applyBorder="1" applyAlignment="1">
      <alignment horizontal="center" vertical="center"/>
      <protection/>
    </xf>
    <xf numFmtId="1" fontId="10" fillId="6" borderId="0" xfId="0" applyNumberFormat="1" applyFont="1" applyFill="1" applyAlignment="1">
      <alignment/>
    </xf>
    <xf numFmtId="1" fontId="7" fillId="6" borderId="38" xfId="0" applyNumberFormat="1" applyFont="1" applyFill="1" applyBorder="1" applyAlignment="1">
      <alignment horizontal="center" wrapText="1"/>
    </xf>
    <xf numFmtId="1" fontId="11" fillId="6" borderId="22" xfId="0" applyNumberFormat="1" applyFont="1" applyFill="1" applyBorder="1" applyAlignment="1">
      <alignment horizontal="center"/>
    </xf>
    <xf numFmtId="1" fontId="11" fillId="6" borderId="10" xfId="0" applyNumberFormat="1" applyFont="1" applyFill="1" applyBorder="1" applyAlignment="1">
      <alignment horizontal="center"/>
    </xf>
    <xf numFmtId="1" fontId="11" fillId="6" borderId="34" xfId="0" applyNumberFormat="1" applyFont="1" applyFill="1" applyBorder="1" applyAlignment="1">
      <alignment horizontal="center"/>
    </xf>
    <xf numFmtId="1" fontId="7" fillId="6" borderId="38" xfId="0" applyNumberFormat="1" applyFont="1" applyFill="1" applyBorder="1" applyAlignment="1">
      <alignment horizontal="center"/>
    </xf>
    <xf numFmtId="1" fontId="7" fillId="6" borderId="22" xfId="0" applyNumberFormat="1" applyFont="1" applyFill="1" applyBorder="1" applyAlignment="1">
      <alignment horizontal="center"/>
    </xf>
    <xf numFmtId="1" fontId="7" fillId="6" borderId="19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wrapText="1"/>
    </xf>
    <xf numFmtId="179" fontId="11" fillId="0" borderId="22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1" fontId="10" fillId="37" borderId="0" xfId="0" applyNumberFormat="1" applyFont="1" applyFill="1" applyBorder="1" applyAlignment="1">
      <alignment horizontal="center"/>
    </xf>
    <xf numFmtId="0" fontId="13" fillId="37" borderId="0" xfId="0" applyFont="1" applyFill="1" applyBorder="1" applyAlignment="1" applyProtection="1">
      <alignment vertical="center" wrapText="1"/>
      <protection locked="0"/>
    </xf>
    <xf numFmtId="1" fontId="10" fillId="37" borderId="0" xfId="0" applyNumberFormat="1" applyFont="1" applyFill="1" applyAlignment="1">
      <alignment/>
    </xf>
    <xf numFmtId="1" fontId="11" fillId="37" borderId="10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49" fontId="34" fillId="0" borderId="16" xfId="0" applyNumberFormat="1" applyFont="1" applyFill="1" applyBorder="1" applyAlignment="1">
      <alignment wrapText="1"/>
    </xf>
    <xf numFmtId="174" fontId="18" fillId="0" borderId="30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/>
    </xf>
    <xf numFmtId="174" fontId="18" fillId="0" borderId="23" xfId="0" applyNumberFormat="1" applyFont="1" applyFill="1" applyBorder="1" applyAlignment="1">
      <alignment/>
    </xf>
    <xf numFmtId="174" fontId="18" fillId="0" borderId="13" xfId="0" applyNumberFormat="1" applyFont="1" applyFill="1" applyBorder="1" applyAlignment="1">
      <alignment/>
    </xf>
    <xf numFmtId="49" fontId="18" fillId="0" borderId="53" xfId="0" applyNumberFormat="1" applyFont="1" applyFill="1" applyBorder="1" applyAlignment="1">
      <alignment horizontal="center" wrapText="1"/>
    </xf>
    <xf numFmtId="174" fontId="18" fillId="0" borderId="47" xfId="0" applyNumberFormat="1" applyFont="1" applyFill="1" applyBorder="1" applyAlignment="1">
      <alignment/>
    </xf>
    <xf numFmtId="3" fontId="18" fillId="0" borderId="53" xfId="0" applyNumberFormat="1" applyFont="1" applyFill="1" applyBorder="1" applyAlignment="1">
      <alignment horizontal="center"/>
    </xf>
    <xf numFmtId="174" fontId="18" fillId="0" borderId="45" xfId="0" applyNumberFormat="1" applyFont="1" applyFill="1" applyBorder="1" applyAlignment="1">
      <alignment/>
    </xf>
    <xf numFmtId="49" fontId="18" fillId="0" borderId="40" xfId="0" applyNumberFormat="1" applyFont="1" applyFill="1" applyBorder="1" applyAlignment="1">
      <alignment horizontal="center" wrapText="1"/>
    </xf>
    <xf numFmtId="0" fontId="19" fillId="0" borderId="40" xfId="0" applyNumberFormat="1" applyFont="1" applyFill="1" applyBorder="1" applyAlignment="1">
      <alignment horizontal="center"/>
    </xf>
    <xf numFmtId="4" fontId="19" fillId="0" borderId="40" xfId="0" applyNumberFormat="1" applyFont="1" applyFill="1" applyBorder="1" applyAlignment="1">
      <alignment horizontal="center"/>
    </xf>
    <xf numFmtId="1" fontId="18" fillId="0" borderId="35" xfId="0" applyNumberFormat="1" applyFont="1" applyFill="1" applyBorder="1" applyAlignment="1">
      <alignment horizontal="center" wrapText="1"/>
    </xf>
    <xf numFmtId="174" fontId="18" fillId="0" borderId="43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/>
    </xf>
    <xf numFmtId="172" fontId="18" fillId="0" borderId="40" xfId="0" applyNumberFormat="1" applyFont="1" applyFill="1" applyBorder="1" applyAlignment="1">
      <alignment horizontal="center"/>
    </xf>
    <xf numFmtId="174" fontId="18" fillId="0" borderId="77" xfId="0" applyNumberFormat="1" applyFont="1" applyFill="1" applyBorder="1" applyAlignment="1">
      <alignment/>
    </xf>
    <xf numFmtId="4" fontId="19" fillId="0" borderId="5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29" fillId="34" borderId="7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0" fontId="18" fillId="0" borderId="76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179" fontId="7" fillId="0" borderId="38" xfId="0" applyNumberFormat="1" applyFont="1" applyFill="1" applyBorder="1" applyAlignment="1">
      <alignment horizontal="center"/>
    </xf>
    <xf numFmtId="179" fontId="7" fillId="0" borderId="43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/>
    </xf>
    <xf numFmtId="182" fontId="3" fillId="0" borderId="13" xfId="54" applyNumberFormat="1" applyFont="1" applyFill="1" applyBorder="1" applyAlignment="1">
      <alignment vertical="center"/>
      <protection/>
    </xf>
    <xf numFmtId="182" fontId="2" fillId="0" borderId="10" xfId="54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79" xfId="0" applyFont="1" applyFill="1" applyBorder="1" applyAlignment="1">
      <alignment vertical="center" wrapText="1"/>
    </xf>
    <xf numFmtId="0" fontId="18" fillId="0" borderId="79" xfId="0" applyFont="1" applyFill="1" applyBorder="1" applyAlignment="1">
      <alignment wrapText="1"/>
    </xf>
    <xf numFmtId="2" fontId="18" fillId="0" borderId="79" xfId="0" applyNumberFormat="1" applyFont="1" applyFill="1" applyBorder="1" applyAlignment="1">
      <alignment wrapText="1"/>
    </xf>
    <xf numFmtId="174" fontId="18" fillId="0" borderId="79" xfId="0" applyNumberFormat="1" applyFont="1" applyFill="1" applyBorder="1" applyAlignment="1">
      <alignment wrapText="1"/>
    </xf>
    <xf numFmtId="174" fontId="18" fillId="0" borderId="11" xfId="0" applyNumberFormat="1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2" fillId="0" borderId="34" xfId="54" applyNumberFormat="1" applyFont="1" applyBorder="1" applyAlignment="1">
      <alignment horizontal="center" vertical="top" wrapText="1"/>
      <protection/>
    </xf>
    <xf numFmtId="182" fontId="2" fillId="0" borderId="38" xfId="54" applyNumberFormat="1" applyFont="1" applyBorder="1" applyAlignment="1">
      <alignment horizontal="center" vertical="center" wrapText="1"/>
      <protection/>
    </xf>
    <xf numFmtId="182" fontId="22" fillId="0" borderId="10" xfId="54" applyNumberFormat="1" applyFont="1" applyBorder="1" applyAlignment="1">
      <alignment wrapText="1"/>
      <protection/>
    </xf>
    <xf numFmtId="182" fontId="22" fillId="0" borderId="10" xfId="54" applyNumberFormat="1" applyFont="1" applyFill="1" applyBorder="1" applyAlignment="1">
      <alignment wrapText="1"/>
      <protection/>
    </xf>
    <xf numFmtId="182" fontId="10" fillId="0" borderId="10" xfId="60" applyNumberFormat="1" applyFont="1" applyFill="1" applyBorder="1" applyAlignment="1">
      <alignment wrapText="1"/>
      <protection/>
    </xf>
    <xf numFmtId="182" fontId="10" fillId="0" borderId="10" xfId="54" applyNumberFormat="1" applyFont="1" applyFill="1" applyBorder="1" applyAlignment="1">
      <alignment vertical="center" wrapText="1"/>
      <protection/>
    </xf>
    <xf numFmtId="182" fontId="10" fillId="0" borderId="19" xfId="54" applyNumberFormat="1" applyFont="1" applyFill="1" applyBorder="1" applyAlignment="1">
      <alignment vertical="center" wrapText="1"/>
      <protection/>
    </xf>
    <xf numFmtId="182" fontId="67" fillId="0" borderId="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180" fontId="3" fillId="0" borderId="13" xfId="54" applyNumberFormat="1" applyFont="1" applyFill="1" applyBorder="1" applyAlignment="1">
      <alignment vertical="center"/>
      <protection/>
    </xf>
    <xf numFmtId="180" fontId="3" fillId="0" borderId="13" xfId="60" applyNumberFormat="1" applyFont="1" applyFill="1" applyBorder="1" applyAlignment="1">
      <alignment vertical="center" wrapText="1"/>
      <protection/>
    </xf>
    <xf numFmtId="181" fontId="3" fillId="0" borderId="13" xfId="54" applyNumberFormat="1" applyFont="1" applyFill="1" applyBorder="1" applyAlignment="1">
      <alignment vertical="center"/>
      <protection/>
    </xf>
    <xf numFmtId="172" fontId="3" fillId="0" borderId="13" xfId="54" applyNumberFormat="1" applyFont="1" applyFill="1" applyBorder="1" applyAlignment="1">
      <alignment vertical="center"/>
      <protection/>
    </xf>
    <xf numFmtId="172" fontId="2" fillId="0" borderId="13" xfId="54" applyNumberFormat="1" applyFont="1" applyFill="1" applyBorder="1" applyAlignment="1">
      <alignment vertical="center"/>
      <protection/>
    </xf>
    <xf numFmtId="172" fontId="3" fillId="0" borderId="13" xfId="60" applyNumberFormat="1" applyFont="1" applyFill="1" applyBorder="1" applyAlignment="1">
      <alignment vertical="center" wrapText="1"/>
      <protection/>
    </xf>
    <xf numFmtId="3" fontId="19" fillId="0" borderId="21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 applyProtection="1">
      <alignment vertical="center" wrapText="1"/>
      <protection locked="0"/>
    </xf>
    <xf numFmtId="1" fontId="10" fillId="0" borderId="40" xfId="0" applyNumberFormat="1" applyFont="1" applyFill="1" applyBorder="1" applyAlignment="1">
      <alignment horizontal="center"/>
    </xf>
    <xf numFmtId="1" fontId="10" fillId="0" borderId="72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24" fillId="0" borderId="67" xfId="0" applyNumberFormat="1" applyFont="1" applyBorder="1" applyAlignment="1">
      <alignment wrapText="1"/>
    </xf>
    <xf numFmtId="174" fontId="19" fillId="0" borderId="50" xfId="0" applyNumberFormat="1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1" fontId="18" fillId="0" borderId="72" xfId="0" applyNumberFormat="1" applyFont="1" applyFill="1" applyBorder="1" applyAlignment="1">
      <alignment horizontal="center"/>
    </xf>
    <xf numFmtId="0" fontId="18" fillId="0" borderId="55" xfId="0" applyNumberFormat="1" applyFont="1" applyFill="1" applyBorder="1" applyAlignment="1">
      <alignment horizontal="center"/>
    </xf>
    <xf numFmtId="174" fontId="18" fillId="0" borderId="57" xfId="0" applyNumberFormat="1" applyFont="1" applyFill="1" applyBorder="1" applyAlignment="1">
      <alignment/>
    </xf>
    <xf numFmtId="0" fontId="19" fillId="0" borderId="5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4" fontId="19" fillId="0" borderId="43" xfId="0" applyNumberFormat="1" applyFont="1" applyFill="1" applyBorder="1" applyAlignment="1">
      <alignment/>
    </xf>
    <xf numFmtId="174" fontId="19" fillId="0" borderId="39" xfId="0" applyNumberFormat="1" applyFont="1" applyFill="1" applyBorder="1" applyAlignment="1">
      <alignment horizontal="center"/>
    </xf>
    <xf numFmtId="3" fontId="18" fillId="0" borderId="74" xfId="0" applyNumberFormat="1" applyFont="1" applyFill="1" applyBorder="1" applyAlignment="1">
      <alignment/>
    </xf>
    <xf numFmtId="0" fontId="31" fillId="0" borderId="0" xfId="0" applyFont="1" applyFill="1" applyBorder="1" applyAlignment="1" applyProtection="1">
      <alignment vertical="top" wrapText="1"/>
      <protection locked="0"/>
    </xf>
    <xf numFmtId="3" fontId="11" fillId="0" borderId="31" xfId="0" applyNumberFormat="1" applyFont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1" fontId="11" fillId="37" borderId="40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1" fontId="7" fillId="34" borderId="40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1" fontId="11" fillId="34" borderId="32" xfId="0" applyNumberFormat="1" applyFont="1" applyFill="1" applyBorder="1" applyAlignment="1">
      <alignment horizontal="center" wrapText="1"/>
    </xf>
    <xf numFmtId="0" fontId="11" fillId="34" borderId="42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1" fontId="11" fillId="34" borderId="54" xfId="0" applyNumberFormat="1" applyFont="1" applyFill="1" applyBorder="1" applyAlignment="1">
      <alignment horizontal="center" wrapText="1"/>
    </xf>
    <xf numFmtId="0" fontId="7" fillId="34" borderId="80" xfId="0" applyFont="1" applyFill="1" applyBorder="1" applyAlignment="1">
      <alignment horizontal="center" wrapText="1"/>
    </xf>
    <xf numFmtId="1" fontId="7" fillId="0" borderId="45" xfId="0" applyNumberFormat="1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68" xfId="0" applyNumberFormat="1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74" xfId="0" applyFont="1" applyFill="1" applyBorder="1" applyAlignment="1">
      <alignment vertical="center" wrapText="1"/>
    </xf>
    <xf numFmtId="0" fontId="7" fillId="34" borderId="73" xfId="0" applyFont="1" applyFill="1" applyBorder="1" applyAlignment="1">
      <alignment vertical="center" wrapText="1"/>
    </xf>
    <xf numFmtId="1" fontId="7" fillId="0" borderId="20" xfId="0" applyNumberFormat="1" applyFont="1" applyBorder="1" applyAlignment="1">
      <alignment horizontal="center"/>
    </xf>
    <xf numFmtId="0" fontId="7" fillId="34" borderId="74" xfId="0" applyFont="1" applyFill="1" applyBorder="1" applyAlignment="1">
      <alignment vertical="center" wrapText="1"/>
    </xf>
    <xf numFmtId="1" fontId="7" fillId="34" borderId="55" xfId="0" applyNumberFormat="1" applyFont="1" applyFill="1" applyBorder="1" applyAlignment="1">
      <alignment horizontal="center" wrapText="1"/>
    </xf>
    <xf numFmtId="1" fontId="11" fillId="0" borderId="56" xfId="0" applyNumberFormat="1" applyFont="1" applyBorder="1" applyAlignment="1">
      <alignment horizontal="center"/>
    </xf>
    <xf numFmtId="1" fontId="7" fillId="34" borderId="26" xfId="0" applyNumberFormat="1" applyFont="1" applyFill="1" applyBorder="1" applyAlignment="1">
      <alignment horizontal="center" wrapText="1"/>
    </xf>
    <xf numFmtId="0" fontId="7" fillId="34" borderId="68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vertical="center" wrapText="1"/>
    </xf>
    <xf numFmtId="1" fontId="19" fillId="0" borderId="35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19" fillId="0" borderId="53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1" fontId="19" fillId="0" borderId="72" xfId="0" applyNumberFormat="1" applyFont="1" applyFill="1" applyBorder="1" applyAlignment="1">
      <alignment horizontal="center"/>
    </xf>
    <xf numFmtId="174" fontId="19" fillId="0" borderId="39" xfId="0" applyNumberFormat="1" applyFont="1" applyFill="1" applyBorder="1" applyAlignment="1">
      <alignment/>
    </xf>
    <xf numFmtId="174" fontId="19" fillId="0" borderId="44" xfId="0" applyNumberFormat="1" applyFont="1" applyFill="1" applyBorder="1" applyAlignment="1">
      <alignment/>
    </xf>
    <xf numFmtId="174" fontId="19" fillId="0" borderId="30" xfId="0" applyNumberFormat="1" applyFont="1" applyFill="1" applyBorder="1" applyAlignment="1">
      <alignment/>
    </xf>
    <xf numFmtId="174" fontId="19" fillId="0" borderId="14" xfId="0" applyNumberFormat="1" applyFont="1" applyFill="1" applyBorder="1" applyAlignment="1">
      <alignment/>
    </xf>
    <xf numFmtId="174" fontId="19" fillId="0" borderId="45" xfId="0" applyNumberFormat="1" applyFont="1" applyFill="1" applyBorder="1" applyAlignment="1">
      <alignment/>
    </xf>
    <xf numFmtId="172" fontId="13" fillId="0" borderId="22" xfId="54" applyNumberFormat="1" applyFont="1" applyBorder="1" applyAlignment="1">
      <alignment vertical="top"/>
      <protection/>
    </xf>
    <xf numFmtId="172" fontId="13" fillId="0" borderId="10" xfId="54" applyNumberFormat="1" applyFont="1" applyBorder="1" applyAlignment="1">
      <alignment wrapText="1"/>
      <protection/>
    </xf>
    <xf numFmtId="172" fontId="13" fillId="0" borderId="10" xfId="60" applyNumberFormat="1" applyFont="1" applyBorder="1" applyAlignment="1">
      <alignment/>
      <protection/>
    </xf>
    <xf numFmtId="172" fontId="22" fillId="0" borderId="10" xfId="54" applyNumberFormat="1" applyFont="1" applyBorder="1" applyAlignment="1">
      <alignment wrapText="1"/>
      <protection/>
    </xf>
    <xf numFmtId="181" fontId="3" fillId="0" borderId="13" xfId="60" applyNumberFormat="1" applyFont="1" applyFill="1" applyBorder="1" applyAlignment="1">
      <alignment vertical="center" wrapText="1"/>
      <protection/>
    </xf>
    <xf numFmtId="1" fontId="10" fillId="37" borderId="0" xfId="0" applyNumberFormat="1" applyFont="1" applyFill="1" applyAlignment="1">
      <alignment wrapText="1"/>
    </xf>
    <xf numFmtId="1" fontId="23" fillId="37" borderId="0" xfId="0" applyNumberFormat="1" applyFont="1" applyFill="1" applyAlignment="1">
      <alignment wrapText="1"/>
    </xf>
    <xf numFmtId="0" fontId="7" fillId="0" borderId="49" xfId="0" applyFont="1" applyFill="1" applyBorder="1" applyAlignment="1">
      <alignment vertical="justify"/>
    </xf>
    <xf numFmtId="0" fontId="7" fillId="0" borderId="49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vertical="justify"/>
    </xf>
    <xf numFmtId="49" fontId="18" fillId="0" borderId="52" xfId="0" applyNumberFormat="1" applyFont="1" applyFill="1" applyBorder="1" applyAlignment="1">
      <alignment wrapText="1"/>
    </xf>
    <xf numFmtId="1" fontId="18" fillId="0" borderId="55" xfId="0" applyNumberFormat="1" applyFont="1" applyFill="1" applyBorder="1" applyAlignment="1">
      <alignment horizontal="center" wrapText="1"/>
    </xf>
    <xf numFmtId="174" fontId="18" fillId="0" borderId="59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 horizontal="center"/>
    </xf>
    <xf numFmtId="1" fontId="19" fillId="0" borderId="55" xfId="0" applyNumberFormat="1" applyFont="1" applyFill="1" applyBorder="1" applyAlignment="1">
      <alignment horizontal="center"/>
    </xf>
    <xf numFmtId="174" fontId="19" fillId="0" borderId="57" xfId="0" applyNumberFormat="1" applyFont="1" applyFill="1" applyBorder="1" applyAlignment="1">
      <alignment/>
    </xf>
    <xf numFmtId="0" fontId="18" fillId="0" borderId="21" xfId="0" applyFont="1" applyFill="1" applyBorder="1" applyAlignment="1">
      <alignment wrapText="1"/>
    </xf>
    <xf numFmtId="1" fontId="18" fillId="0" borderId="26" xfId="0" applyNumberFormat="1" applyFont="1" applyFill="1" applyBorder="1" applyAlignment="1">
      <alignment horizontal="center"/>
    </xf>
    <xf numFmtId="174" fontId="18" fillId="0" borderId="27" xfId="0" applyNumberFormat="1" applyFont="1" applyFill="1" applyBorder="1" applyAlignment="1">
      <alignment/>
    </xf>
    <xf numFmtId="174" fontId="18" fillId="0" borderId="68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74" fontId="19" fillId="0" borderId="68" xfId="0" applyNumberFormat="1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 horizontal="center"/>
    </xf>
    <xf numFmtId="0" fontId="18" fillId="0" borderId="53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1" fontId="18" fillId="0" borderId="5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wrapText="1"/>
    </xf>
    <xf numFmtId="1" fontId="18" fillId="0" borderId="26" xfId="0" applyNumberFormat="1" applyFont="1" applyFill="1" applyBorder="1" applyAlignment="1">
      <alignment horizontal="center" wrapText="1"/>
    </xf>
    <xf numFmtId="3" fontId="18" fillId="0" borderId="26" xfId="0" applyNumberFormat="1" applyFont="1" applyFill="1" applyBorder="1" applyAlignment="1">
      <alignment horizontal="center"/>
    </xf>
    <xf numFmtId="182" fontId="7" fillId="34" borderId="57" xfId="0" applyNumberFormat="1" applyFont="1" applyFill="1" applyBorder="1" applyAlignment="1">
      <alignment horizontal="center" wrapText="1"/>
    </xf>
    <xf numFmtId="182" fontId="7" fillId="34" borderId="39" xfId="0" applyNumberFormat="1" applyFont="1" applyFill="1" applyBorder="1" applyAlignment="1">
      <alignment horizontal="center" wrapText="1"/>
    </xf>
    <xf numFmtId="182" fontId="11" fillId="0" borderId="35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76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 wrapText="1"/>
    </xf>
    <xf numFmtId="1" fontId="10" fillId="0" borderId="0" xfId="0" applyNumberFormat="1" applyFont="1" applyAlignment="1">
      <alignment horizontal="left" wrapText="1"/>
    </xf>
    <xf numFmtId="1" fontId="7" fillId="0" borderId="83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84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1" fontId="7" fillId="0" borderId="57" xfId="0" applyNumberFormat="1" applyFont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25" fillId="0" borderId="67" xfId="0" applyFont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71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1" fontId="11" fillId="0" borderId="76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1" fontId="11" fillId="6" borderId="76" xfId="0" applyNumberFormat="1" applyFont="1" applyFill="1" applyBorder="1" applyAlignment="1">
      <alignment horizontal="center" vertical="center" wrapText="1"/>
    </xf>
    <xf numFmtId="1" fontId="11" fillId="6" borderId="28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 wrapText="1"/>
    </xf>
    <xf numFmtId="1" fontId="11" fillId="0" borderId="38" xfId="0" applyNumberFormat="1" applyFont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 wrapText="1"/>
    </xf>
    <xf numFmtId="1" fontId="7" fillId="0" borderId="64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7" fillId="0" borderId="66" xfId="0" applyNumberFormat="1" applyFont="1" applyBorder="1" applyAlignment="1">
      <alignment horizontal="center" vertical="center" wrapText="1"/>
    </xf>
    <xf numFmtId="0" fontId="7" fillId="0" borderId="78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1" fontId="11" fillId="0" borderId="74" xfId="0" applyNumberFormat="1" applyFont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11" fillId="0" borderId="7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1" fontId="7" fillId="0" borderId="6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7" fillId="34" borderId="49" xfId="0" applyFont="1" applyFill="1" applyBorder="1" applyAlignment="1" applyProtection="1">
      <alignment horizontal="center" vertical="center" wrapText="1"/>
      <protection locked="0"/>
    </xf>
    <xf numFmtId="0" fontId="27" fillId="34" borderId="66" xfId="0" applyFont="1" applyFill="1" applyBorder="1" applyAlignment="1" applyProtection="1">
      <alignment horizontal="center" vertical="center" wrapText="1"/>
      <protection locked="0"/>
    </xf>
    <xf numFmtId="0" fontId="27" fillId="34" borderId="64" xfId="0" applyFont="1" applyFill="1" applyBorder="1" applyAlignment="1" applyProtection="1">
      <alignment horizontal="center" vertical="center" wrapText="1"/>
      <protection locked="0"/>
    </xf>
    <xf numFmtId="0" fontId="27" fillId="34" borderId="15" xfId="0" applyFont="1" applyFill="1" applyBorder="1" applyAlignment="1" applyProtection="1">
      <alignment horizontal="center" vertical="center" wrapText="1"/>
      <protection locked="0"/>
    </xf>
    <xf numFmtId="0" fontId="27" fillId="34" borderId="71" xfId="0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8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82" xfId="0" applyFont="1" applyFill="1" applyBorder="1" applyAlignment="1">
      <alignment horizontal="center" vertical="center" wrapText="1"/>
    </xf>
    <xf numFmtId="1" fontId="13" fillId="0" borderId="74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27" fillId="34" borderId="0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34" borderId="67" xfId="0" applyFont="1" applyFill="1" applyBorder="1" applyAlignment="1" applyProtection="1">
      <alignment horizontal="center" vertical="top" wrapText="1"/>
      <protection locked="0"/>
    </xf>
    <xf numFmtId="0" fontId="7" fillId="34" borderId="60" xfId="0" applyFont="1" applyFill="1" applyBorder="1" applyAlignment="1" applyProtection="1">
      <alignment horizontal="center" vertical="top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7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7" fillId="34" borderId="64" xfId="0" applyFont="1" applyFill="1" applyBorder="1" applyAlignment="1">
      <alignment horizontal="center" vertical="center" wrapText="1"/>
    </xf>
    <xf numFmtId="0" fontId="27" fillId="34" borderId="49" xfId="0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vertical="center" wrapText="1"/>
    </xf>
    <xf numFmtId="0" fontId="27" fillId="34" borderId="85" xfId="0" applyFont="1" applyFill="1" applyBorder="1" applyAlignment="1">
      <alignment horizontal="center" vertical="center" wrapText="1"/>
    </xf>
    <xf numFmtId="0" fontId="27" fillId="34" borderId="6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7" fillId="34" borderId="61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7" fillId="36" borderId="55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49" fontId="19" fillId="0" borderId="74" xfId="0" applyNumberFormat="1" applyFont="1" applyFill="1" applyBorder="1" applyAlignment="1">
      <alignment horizontal="center" wrapText="1"/>
    </xf>
    <xf numFmtId="49" fontId="19" fillId="0" borderId="51" xfId="0" applyNumberFormat="1" applyFont="1" applyFill="1" applyBorder="1" applyAlignment="1">
      <alignment horizontal="center" wrapText="1"/>
    </xf>
    <xf numFmtId="49" fontId="19" fillId="0" borderId="37" xfId="0" applyNumberFormat="1" applyFont="1" applyFill="1" applyBorder="1" applyAlignment="1">
      <alignment horizontal="center" wrapText="1"/>
    </xf>
    <xf numFmtId="0" fontId="19" fillId="0" borderId="74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7" fillId="0" borderId="74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justify"/>
    </xf>
    <xf numFmtId="4" fontId="3" fillId="0" borderId="22" xfId="0" applyNumberFormat="1" applyFont="1" applyFill="1" applyBorder="1" applyAlignment="1">
      <alignment horizontal="center" vertical="justify"/>
    </xf>
    <xf numFmtId="0" fontId="7" fillId="0" borderId="5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3" fillId="0" borderId="34" xfId="0" applyFont="1" applyFill="1" applyBorder="1" applyAlignment="1">
      <alignment horizontal="center" vertical="justify"/>
    </xf>
    <xf numFmtId="0" fontId="3" fillId="0" borderId="22" xfId="0" applyFont="1" applyFill="1" applyBorder="1" applyAlignment="1">
      <alignment horizontal="center" vertical="justify"/>
    </xf>
    <xf numFmtId="0" fontId="2" fillId="0" borderId="87" xfId="0" applyFont="1" applyFill="1" applyBorder="1" applyAlignment="1">
      <alignment horizontal="center" vertical="justify"/>
    </xf>
    <xf numFmtId="0" fontId="11" fillId="0" borderId="57" xfId="0" applyFont="1" applyFill="1" applyBorder="1" applyAlignment="1">
      <alignment horizontal="center" vertical="justify"/>
    </xf>
    <xf numFmtId="0" fontId="11" fillId="0" borderId="68" xfId="0" applyFont="1" applyFill="1" applyBorder="1" applyAlignment="1">
      <alignment horizontal="center" vertical="justify"/>
    </xf>
    <xf numFmtId="0" fontId="3" fillId="0" borderId="34" xfId="0" applyFont="1" applyFill="1" applyBorder="1" applyAlignment="1">
      <alignment horizontal="center" vertical="justify" wrapText="1"/>
    </xf>
    <xf numFmtId="0" fontId="3" fillId="0" borderId="22" xfId="0" applyFont="1" applyFill="1" applyBorder="1" applyAlignment="1">
      <alignment horizontal="center" vertical="justify" wrapText="1"/>
    </xf>
    <xf numFmtId="4" fontId="2" fillId="0" borderId="87" xfId="0" applyNumberFormat="1" applyFont="1" applyFill="1" applyBorder="1" applyAlignment="1">
      <alignment horizontal="center" vertical="justify"/>
    </xf>
    <xf numFmtId="0" fontId="7" fillId="0" borderId="56" xfId="0" applyFont="1" applyFill="1" applyBorder="1" applyAlignment="1">
      <alignment horizontal="center" vertical="justify"/>
    </xf>
    <xf numFmtId="0" fontId="7" fillId="0" borderId="28" xfId="0" applyFont="1" applyFill="1" applyBorder="1" applyAlignment="1">
      <alignment horizontal="center" vertical="justify"/>
    </xf>
    <xf numFmtId="4" fontId="3" fillId="0" borderId="34" xfId="0" applyNumberFormat="1" applyFont="1" applyFill="1" applyBorder="1" applyAlignment="1">
      <alignment horizontal="center" vertical="justify" wrapText="1"/>
    </xf>
    <xf numFmtId="4" fontId="3" fillId="0" borderId="22" xfId="0" applyNumberFormat="1" applyFont="1" applyFill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7" fillId="0" borderId="65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/>
    </xf>
    <xf numFmtId="0" fontId="31" fillId="0" borderId="0" xfId="66" applyNumberFormat="1" applyFont="1" applyFill="1" applyBorder="1" applyAlignment="1">
      <alignment horizontal="center" vertical="justify"/>
    </xf>
    <xf numFmtId="0" fontId="4" fillId="0" borderId="0" xfId="0" applyNumberFormat="1" applyFont="1" applyAlignment="1">
      <alignment horizontal="left" wrapText="1"/>
    </xf>
    <xf numFmtId="0" fontId="3" fillId="0" borderId="67" xfId="54" applyFont="1" applyFill="1" applyBorder="1" applyAlignment="1">
      <alignment horizontal="left" vertical="top" wrapText="1"/>
      <protection/>
    </xf>
    <xf numFmtId="0" fontId="3" fillId="0" borderId="0" xfId="54" applyFont="1" applyFill="1" applyAlignment="1">
      <alignment horizontal="left" wrapText="1"/>
      <protection/>
    </xf>
    <xf numFmtId="0" fontId="8" fillId="0" borderId="0" xfId="0" applyFont="1" applyAlignment="1">
      <alignment horizontal="center" wrapText="1"/>
    </xf>
    <xf numFmtId="0" fontId="13" fillId="0" borderId="55" xfId="54" applyNumberFormat="1" applyFont="1" applyBorder="1" applyAlignment="1">
      <alignment horizontal="center" vertical="center" wrapText="1"/>
      <protection/>
    </xf>
    <xf numFmtId="0" fontId="13" fillId="0" borderId="72" xfId="54" applyNumberFormat="1" applyFont="1" applyBorder="1" applyAlignment="1">
      <alignment horizontal="center" vertical="center" wrapText="1"/>
      <protection/>
    </xf>
    <xf numFmtId="0" fontId="2" fillId="0" borderId="59" xfId="54" applyNumberFormat="1" applyFont="1" applyBorder="1" applyAlignment="1">
      <alignment horizontal="center" vertical="center" wrapText="1"/>
      <protection/>
    </xf>
    <xf numFmtId="0" fontId="2" fillId="0" borderId="77" xfId="54" applyNumberFormat="1" applyFont="1" applyBorder="1" applyAlignment="1">
      <alignment horizontal="center" vertical="center" wrapText="1"/>
      <protection/>
    </xf>
    <xf numFmtId="0" fontId="2" fillId="0" borderId="49" xfId="54" applyNumberFormat="1" applyFont="1" applyBorder="1" applyAlignment="1">
      <alignment horizontal="center" vertical="top" wrapText="1"/>
      <protection/>
    </xf>
    <xf numFmtId="0" fontId="2" fillId="0" borderId="66" xfId="54" applyNumberFormat="1" applyFont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34" xfId="54" applyNumberFormat="1" applyFont="1" applyFill="1" applyBorder="1" applyAlignment="1">
      <alignment horizontal="center" vertical="center" wrapText="1"/>
      <protection/>
    </xf>
    <xf numFmtId="0" fontId="2" fillId="0" borderId="76" xfId="54" applyNumberFormat="1" applyFon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justify" wrapText="1"/>
    </xf>
    <xf numFmtId="0" fontId="2" fillId="0" borderId="0" xfId="54" applyFont="1" applyFill="1" applyAlignment="1">
      <alignment horizontal="center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49" fontId="3" fillId="0" borderId="34" xfId="54" applyNumberFormat="1" applyFont="1" applyFill="1" applyBorder="1" applyAlignment="1">
      <alignment horizontal="left" vertical="center" wrapText="1"/>
      <protection/>
    </xf>
    <xf numFmtId="49" fontId="3" fillId="0" borderId="76" xfId="54" applyNumberFormat="1" applyFont="1" applyFill="1" applyBorder="1" applyAlignment="1">
      <alignment horizontal="left" vertical="center" wrapText="1"/>
      <protection/>
    </xf>
    <xf numFmtId="49" fontId="3" fillId="0" borderId="22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top" wrapText="1"/>
      <protection/>
    </xf>
    <xf numFmtId="0" fontId="2" fillId="0" borderId="79" xfId="54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_Расчет объемов с приложениями к Протоколу комиссии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21"/>
  <sheetViews>
    <sheetView view="pageBreakPreview" zoomScaleSheetLayoutView="100" zoomScalePageLayoutView="0" workbookViewId="0" topLeftCell="A1">
      <selection activeCell="K1" sqref="K1:N1"/>
    </sheetView>
  </sheetViews>
  <sheetFormatPr defaultColWidth="9.140625" defaultRowHeight="15"/>
  <cols>
    <col min="1" max="1" width="3.421875" style="9" customWidth="1"/>
    <col min="2" max="2" width="31.7109375" style="9" customWidth="1"/>
    <col min="3" max="3" width="10.421875" style="135" customWidth="1"/>
    <col min="4" max="4" width="11.8515625" style="9" customWidth="1"/>
    <col min="5" max="6" width="0" style="9" hidden="1" customWidth="1"/>
    <col min="7" max="7" width="12.57421875" style="9" customWidth="1"/>
    <col min="8" max="8" width="11.140625" style="9" customWidth="1"/>
    <col min="9" max="9" width="11.8515625" style="9" customWidth="1"/>
    <col min="10" max="10" width="9.8515625" style="9" customWidth="1"/>
    <col min="11" max="11" width="10.140625" style="9" customWidth="1"/>
    <col min="12" max="12" width="12.28125" style="135" customWidth="1"/>
    <col min="13" max="14" width="11.00390625" style="9" customWidth="1"/>
    <col min="15" max="16384" width="9.140625" style="9" customWidth="1"/>
  </cols>
  <sheetData>
    <row r="1" spans="10:14" ht="52.5" customHeight="1">
      <c r="J1" s="53"/>
      <c r="K1" s="755" t="s">
        <v>288</v>
      </c>
      <c r="L1" s="755"/>
      <c r="M1" s="755"/>
      <c r="N1" s="755"/>
    </row>
    <row r="2" spans="10:13" ht="12.75">
      <c r="J2" s="53"/>
      <c r="K2" s="53"/>
      <c r="L2" s="140"/>
      <c r="M2" s="53"/>
    </row>
    <row r="3" spans="9:13" ht="12.75">
      <c r="I3" s="53"/>
      <c r="J3" s="53"/>
      <c r="K3" s="53"/>
      <c r="L3" s="140"/>
      <c r="M3" s="53"/>
    </row>
    <row r="4" spans="2:14" ht="18" customHeight="1">
      <c r="B4" s="756" t="s">
        <v>269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2:13" ht="13.5" thickBot="1">
      <c r="B5" s="11"/>
      <c r="C5" s="136"/>
      <c r="D5" s="11"/>
      <c r="E5" s="11"/>
      <c r="F5" s="11"/>
      <c r="G5" s="11"/>
      <c r="H5" s="11"/>
      <c r="I5" s="11"/>
      <c r="J5" s="11"/>
      <c r="K5" s="11"/>
      <c r="L5" s="136"/>
      <c r="M5" s="11"/>
    </row>
    <row r="6" spans="2:14" ht="73.5" customHeight="1">
      <c r="B6" s="757" t="s">
        <v>82</v>
      </c>
      <c r="C6" s="759" t="s">
        <v>81</v>
      </c>
      <c r="D6" s="759"/>
      <c r="E6" s="759" t="s">
        <v>83</v>
      </c>
      <c r="F6" s="759"/>
      <c r="G6" s="759"/>
      <c r="H6" s="759"/>
      <c r="I6" s="759"/>
      <c r="J6" s="759" t="s">
        <v>84</v>
      </c>
      <c r="K6" s="759"/>
      <c r="L6" s="759"/>
      <c r="M6" s="760" t="s">
        <v>85</v>
      </c>
      <c r="N6" s="761"/>
    </row>
    <row r="7" spans="2:14" ht="26.25" customHeight="1">
      <c r="B7" s="758"/>
      <c r="C7" s="764" t="s">
        <v>86</v>
      </c>
      <c r="D7" s="762" t="s">
        <v>87</v>
      </c>
      <c r="E7" s="762" t="s">
        <v>88</v>
      </c>
      <c r="F7" s="770" t="s">
        <v>89</v>
      </c>
      <c r="G7" s="771"/>
      <c r="H7" s="771"/>
      <c r="I7" s="772"/>
      <c r="J7" s="764" t="s">
        <v>139</v>
      </c>
      <c r="K7" s="762" t="s">
        <v>114</v>
      </c>
      <c r="L7" s="762" t="s">
        <v>90</v>
      </c>
      <c r="M7" s="766" t="s">
        <v>220</v>
      </c>
      <c r="N7" s="768" t="s">
        <v>0</v>
      </c>
    </row>
    <row r="8" spans="2:14" ht="78" thickBot="1">
      <c r="B8" s="758"/>
      <c r="C8" s="765"/>
      <c r="D8" s="763"/>
      <c r="E8" s="763"/>
      <c r="F8" s="404" t="s">
        <v>91</v>
      </c>
      <c r="G8" s="404" t="s">
        <v>92</v>
      </c>
      <c r="H8" s="404" t="s">
        <v>93</v>
      </c>
      <c r="I8" s="404" t="s">
        <v>237</v>
      </c>
      <c r="J8" s="765"/>
      <c r="K8" s="763"/>
      <c r="L8" s="763"/>
      <c r="M8" s="767"/>
      <c r="N8" s="769"/>
    </row>
    <row r="9" spans="2:14" ht="42" customHeight="1" hidden="1" thickBot="1">
      <c r="B9" s="405" t="s">
        <v>219</v>
      </c>
      <c r="C9" s="406"/>
      <c r="D9" s="407"/>
      <c r="E9" s="408"/>
      <c r="F9" s="408"/>
      <c r="G9" s="408"/>
      <c r="H9" s="408"/>
      <c r="I9" s="408"/>
      <c r="J9" s="409"/>
      <c r="K9" s="408"/>
      <c r="L9" s="406"/>
      <c r="M9" s="410"/>
      <c r="N9" s="411"/>
    </row>
    <row r="10" spans="2:14" ht="42" customHeight="1">
      <c r="B10" s="405" t="s">
        <v>219</v>
      </c>
      <c r="C10" s="137">
        <f>C12-C11</f>
        <v>11897.19256</v>
      </c>
      <c r="D10" s="137">
        <f aca="true" t="shared" si="0" ref="D10:M10">D12-D11</f>
        <v>0</v>
      </c>
      <c r="E10" s="137">
        <f t="shared" si="0"/>
        <v>0</v>
      </c>
      <c r="F10" s="137">
        <f t="shared" si="0"/>
        <v>0</v>
      </c>
      <c r="G10" s="137">
        <f t="shared" si="0"/>
        <v>91771.39124</v>
      </c>
      <c r="H10" s="137">
        <f t="shared" si="0"/>
        <v>22436.444996000002</v>
      </c>
      <c r="I10" s="137">
        <f t="shared" si="0"/>
        <v>78621.14828000001</v>
      </c>
      <c r="J10" s="137">
        <f t="shared" si="0"/>
        <v>6244.338772</v>
      </c>
      <c r="K10" s="137">
        <v>0</v>
      </c>
      <c r="L10" s="137">
        <f>'Приложение 2.4 -КС'!G31</f>
        <v>53455.6</v>
      </c>
      <c r="M10" s="137">
        <f t="shared" si="0"/>
        <v>2374.805696</v>
      </c>
      <c r="N10" s="137">
        <f>'Приложение 2.5 -ДС '!G26</f>
        <v>22386.5</v>
      </c>
    </row>
    <row r="11" spans="2:14" ht="30.75">
      <c r="B11" s="412" t="s">
        <v>115</v>
      </c>
      <c r="C11" s="138">
        <v>176</v>
      </c>
      <c r="D11" s="76"/>
      <c r="E11" s="75"/>
      <c r="F11" s="76"/>
      <c r="G11" s="76">
        <v>2800</v>
      </c>
      <c r="H11" s="76">
        <v>100</v>
      </c>
      <c r="I11" s="76">
        <v>1060</v>
      </c>
      <c r="J11" s="76">
        <v>692</v>
      </c>
      <c r="K11" s="76">
        <v>0</v>
      </c>
      <c r="L11" s="138">
        <f>J11*9.2</f>
        <v>6366.4</v>
      </c>
      <c r="M11" s="76">
        <v>40</v>
      </c>
      <c r="N11" s="480">
        <f>M11*8.6</f>
        <v>344</v>
      </c>
    </row>
    <row r="12" spans="2:14" s="135" customFormat="1" ht="37.5" customHeight="1" thickBot="1">
      <c r="B12" s="474" t="s">
        <v>138</v>
      </c>
      <c r="C12" s="475">
        <f>C14*G15</f>
        <v>12073.19256</v>
      </c>
      <c r="D12" s="475"/>
      <c r="E12" s="475">
        <f aca="true" t="shared" si="1" ref="E12:K12">E10+E11</f>
        <v>0</v>
      </c>
      <c r="F12" s="475">
        <f t="shared" si="1"/>
        <v>0</v>
      </c>
      <c r="G12" s="475">
        <f>G14*G15</f>
        <v>94571.39124</v>
      </c>
      <c r="H12" s="475">
        <f>H14*G15</f>
        <v>22536.444996000002</v>
      </c>
      <c r="I12" s="475">
        <f>I14*G15</f>
        <v>79681.14828000001</v>
      </c>
      <c r="J12" s="475">
        <f>J14*G15</f>
        <v>6936.338772</v>
      </c>
      <c r="K12" s="475">
        <f t="shared" si="1"/>
        <v>0</v>
      </c>
      <c r="L12" s="475">
        <f>L10+L11</f>
        <v>59822</v>
      </c>
      <c r="M12" s="475">
        <f>M14*G15</f>
        <v>2414.805696</v>
      </c>
      <c r="N12" s="476">
        <f>'Приложение 2.5 -ДС '!G28</f>
        <v>22386.5</v>
      </c>
    </row>
    <row r="13" spans="2:14" ht="27" customHeight="1">
      <c r="B13" s="77" t="s">
        <v>222</v>
      </c>
      <c r="C13" s="197">
        <v>0.3</v>
      </c>
      <c r="D13" s="72"/>
      <c r="E13" s="72"/>
      <c r="F13" s="73"/>
      <c r="G13" s="74">
        <v>2.35</v>
      </c>
      <c r="H13" s="74">
        <v>0.56</v>
      </c>
      <c r="I13" s="74">
        <v>1.98</v>
      </c>
      <c r="J13" s="198">
        <v>0.17235</v>
      </c>
      <c r="K13" s="620">
        <v>0.039</v>
      </c>
      <c r="M13" s="74">
        <v>0.06</v>
      </c>
      <c r="N13" s="72"/>
    </row>
    <row r="14" spans="2:14" ht="15" customHeight="1">
      <c r="B14" s="77"/>
      <c r="C14" s="198">
        <f>0.28886</f>
        <v>0.28886</v>
      </c>
      <c r="D14" s="198"/>
      <c r="E14" s="198">
        <f>E13*0.9689</f>
        <v>0</v>
      </c>
      <c r="F14" s="198">
        <f>F13*0.9689</f>
        <v>0</v>
      </c>
      <c r="G14" s="198">
        <f>2.26269</f>
        <v>2.26269</v>
      </c>
      <c r="H14" s="648">
        <f>0.539201</f>
        <v>0.539201</v>
      </c>
      <c r="I14" s="198">
        <f>1.90643</f>
        <v>1.90643</v>
      </c>
      <c r="J14" s="648">
        <f>0.165957</f>
        <v>0.165957</v>
      </c>
      <c r="K14" s="648"/>
      <c r="L14" s="648"/>
      <c r="M14" s="648">
        <f>0.057776</f>
        <v>0.057776</v>
      </c>
      <c r="N14" s="198"/>
    </row>
    <row r="15" spans="2:14" ht="30" customHeight="1">
      <c r="B15" s="755" t="s">
        <v>270</v>
      </c>
      <c r="C15" s="755"/>
      <c r="D15" s="53"/>
      <c r="E15" s="72"/>
      <c r="F15" s="73"/>
      <c r="G15" s="10">
        <v>41796</v>
      </c>
      <c r="H15" s="74"/>
      <c r="I15" s="74"/>
      <c r="J15" s="72"/>
      <c r="K15" s="72"/>
      <c r="L15" s="139"/>
      <c r="M15" s="74"/>
      <c r="N15" s="72"/>
    </row>
    <row r="16" ht="59.25" customHeight="1"/>
    <row r="21" ht="12.75">
      <c r="I21" s="54"/>
    </row>
  </sheetData>
  <sheetProtection/>
  <mergeCells count="17">
    <mergeCell ref="B15:C15"/>
    <mergeCell ref="J7:J8"/>
    <mergeCell ref="M7:M8"/>
    <mergeCell ref="N7:N8"/>
    <mergeCell ref="D7:D8"/>
    <mergeCell ref="E7:E8"/>
    <mergeCell ref="F7:I7"/>
    <mergeCell ref="K1:N1"/>
    <mergeCell ref="B4:N4"/>
    <mergeCell ref="B6:B8"/>
    <mergeCell ref="C6:D6"/>
    <mergeCell ref="E6:I6"/>
    <mergeCell ref="J6:L6"/>
    <mergeCell ref="M6:N6"/>
    <mergeCell ref="L7:L8"/>
    <mergeCell ref="K7:K8"/>
    <mergeCell ref="C7:C8"/>
  </mergeCells>
  <printOptions/>
  <pageMargins left="0.43" right="0.2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B1:BN22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.8515625" style="0" customWidth="1"/>
    <col min="2" max="2" width="65.140625" style="0" customWidth="1"/>
    <col min="3" max="3" width="6.28125" style="0" customWidth="1"/>
    <col min="4" max="4" width="17.140625" style="639" customWidth="1"/>
    <col min="5" max="5" width="15.7109375" style="0" customWidth="1"/>
    <col min="6" max="89" width="9.140625" style="165" customWidth="1"/>
  </cols>
  <sheetData>
    <row r="1" spans="3:5" ht="70.5" customHeight="1">
      <c r="C1" s="946" t="s">
        <v>297</v>
      </c>
      <c r="D1" s="946"/>
      <c r="E1" s="946"/>
    </row>
    <row r="3" spans="2:5" ht="30" customHeight="1">
      <c r="B3" s="949" t="s">
        <v>286</v>
      </c>
      <c r="C3" s="949"/>
      <c r="D3" s="949"/>
      <c r="E3" s="949"/>
    </row>
    <row r="4" ht="15" thickBot="1"/>
    <row r="5" spans="2:65" ht="45" customHeight="1">
      <c r="B5" s="950"/>
      <c r="C5" s="952"/>
      <c r="D5" s="954" t="s">
        <v>279</v>
      </c>
      <c r="E5" s="955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</row>
    <row r="6" spans="2:59" ht="48" customHeight="1" thickBot="1">
      <c r="B6" s="951"/>
      <c r="C6" s="953"/>
      <c r="D6" s="640" t="s">
        <v>253</v>
      </c>
      <c r="E6" s="545" t="s">
        <v>254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</row>
    <row r="7" spans="2:59" ht="15" thickBot="1">
      <c r="B7" s="194">
        <v>1</v>
      </c>
      <c r="C7" s="195">
        <v>2</v>
      </c>
      <c r="D7" s="641">
        <v>3</v>
      </c>
      <c r="E7" s="196">
        <v>4</v>
      </c>
      <c r="F7" s="164"/>
      <c r="G7" s="164"/>
      <c r="H7" s="164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</row>
    <row r="8" spans="2:66" ht="42.75" customHeight="1">
      <c r="B8" s="191" t="s">
        <v>152</v>
      </c>
      <c r="C8" s="192" t="s">
        <v>153</v>
      </c>
      <c r="D8" s="720">
        <f>D9+D10</f>
        <v>536263135.41</v>
      </c>
      <c r="E8" s="193">
        <f>E9+E10</f>
        <v>12830.489410709159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</row>
    <row r="9" spans="2:66" ht="30.75" customHeight="1">
      <c r="B9" s="168" t="s">
        <v>255</v>
      </c>
      <c r="C9" s="173" t="s">
        <v>117</v>
      </c>
      <c r="D9" s="721"/>
      <c r="E9" s="176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</row>
    <row r="10" spans="2:66" ht="28.5" customHeight="1">
      <c r="B10" s="168" t="s">
        <v>256</v>
      </c>
      <c r="C10" s="173" t="s">
        <v>118</v>
      </c>
      <c r="D10" s="721">
        <f>D11</f>
        <v>536263135.41</v>
      </c>
      <c r="E10" s="177">
        <f>E11</f>
        <v>12830.489410709159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</row>
    <row r="11" spans="2:66" ht="37.5" customHeight="1">
      <c r="B11" s="172" t="s">
        <v>257</v>
      </c>
      <c r="C11" s="173" t="s">
        <v>119</v>
      </c>
      <c r="D11" s="722">
        <f>D12+D13+D14</f>
        <v>536263135.41</v>
      </c>
      <c r="E11" s="174">
        <f>E12+E13+E14</f>
        <v>12830.489410709159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</row>
    <row r="12" spans="2:66" ht="19.5" customHeight="1">
      <c r="B12" s="169" t="s">
        <v>258</v>
      </c>
      <c r="C12" s="173" t="s">
        <v>120</v>
      </c>
      <c r="D12" s="723">
        <f>'приложение 4'!O13</f>
        <v>536263135.41</v>
      </c>
      <c r="E12" s="178">
        <f>D12/41796</f>
        <v>12830.489410709159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</row>
    <row r="13" spans="2:66" ht="39" customHeight="1">
      <c r="B13" s="169" t="s">
        <v>154</v>
      </c>
      <c r="C13" s="173" t="s">
        <v>121</v>
      </c>
      <c r="D13" s="642">
        <v>0</v>
      </c>
      <c r="E13" s="179">
        <v>0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</row>
    <row r="14" spans="2:66" ht="24" customHeight="1">
      <c r="B14" s="170" t="s">
        <v>124</v>
      </c>
      <c r="C14" s="173" t="s">
        <v>122</v>
      </c>
      <c r="D14" s="643">
        <v>0</v>
      </c>
      <c r="E14" s="180">
        <v>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</row>
    <row r="15" spans="2:66" ht="52.5" customHeight="1">
      <c r="B15" s="171" t="s">
        <v>259</v>
      </c>
      <c r="C15" s="173" t="s">
        <v>123</v>
      </c>
      <c r="D15" s="644">
        <f>D16+D17</f>
        <v>0</v>
      </c>
      <c r="E15" s="175">
        <f>E16+E17</f>
        <v>0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</row>
    <row r="16" spans="2:66" ht="54.75" customHeight="1">
      <c r="B16" s="546" t="s">
        <v>155</v>
      </c>
      <c r="C16" s="173" t="s">
        <v>125</v>
      </c>
      <c r="D16" s="645">
        <v>0</v>
      </c>
      <c r="E16" s="181">
        <v>0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</row>
    <row r="17" spans="2:66" ht="74.25" customHeight="1" thickBot="1">
      <c r="B17" s="547" t="s">
        <v>156</v>
      </c>
      <c r="C17" s="189" t="s">
        <v>126</v>
      </c>
      <c r="D17" s="646">
        <v>0</v>
      </c>
      <c r="E17" s="190">
        <v>0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</row>
    <row r="18" spans="2:11" ht="41.25" customHeight="1">
      <c r="B18" s="947" t="s">
        <v>260</v>
      </c>
      <c r="C18" s="947"/>
      <c r="D18" s="947"/>
      <c r="E18" s="947"/>
      <c r="F18" s="548"/>
      <c r="G18" s="548"/>
      <c r="H18" s="548"/>
      <c r="I18" s="548"/>
      <c r="J18" s="548"/>
      <c r="K18" s="548"/>
    </row>
    <row r="19" spans="2:11" ht="37.5" customHeight="1">
      <c r="B19" s="948" t="s">
        <v>261</v>
      </c>
      <c r="C19" s="948"/>
      <c r="D19" s="948"/>
      <c r="E19" s="948"/>
      <c r="F19" s="549"/>
      <c r="G19" s="549"/>
      <c r="H19" s="549"/>
      <c r="I19" s="549"/>
      <c r="J19" s="549"/>
      <c r="K19" s="549"/>
    </row>
    <row r="21" spans="2:5" ht="52.5">
      <c r="B21" s="551" t="s">
        <v>262</v>
      </c>
      <c r="C21" s="550"/>
      <c r="D21" s="640" t="s">
        <v>253</v>
      </c>
      <c r="E21" s="545" t="s">
        <v>263</v>
      </c>
    </row>
    <row r="22" spans="2:5" ht="14.25">
      <c r="B22" s="550" t="s">
        <v>264</v>
      </c>
      <c r="C22" s="550"/>
      <c r="D22" s="647">
        <v>24172.1</v>
      </c>
      <c r="E22" s="550">
        <v>558.45</v>
      </c>
    </row>
  </sheetData>
  <sheetProtection/>
  <mergeCells count="7">
    <mergeCell ref="C1:E1"/>
    <mergeCell ref="B18:E18"/>
    <mergeCell ref="B19:E19"/>
    <mergeCell ref="B3:E3"/>
    <mergeCell ref="B5:B6"/>
    <mergeCell ref="C5:C6"/>
    <mergeCell ref="D5:E5"/>
  </mergeCells>
  <printOptions/>
  <pageMargins left="0.75" right="0.23" top="0.82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46"/>
  <sheetViews>
    <sheetView view="pageBreakPreview" zoomScaleSheetLayoutView="100" zoomScalePageLayoutView="0" workbookViewId="0" topLeftCell="A1">
      <selection activeCell="C7" sqref="C7:C9"/>
    </sheetView>
  </sheetViews>
  <sheetFormatPr defaultColWidth="0.85546875" defaultRowHeight="15"/>
  <cols>
    <col min="1" max="1" width="38.140625" style="28" customWidth="1"/>
    <col min="2" max="2" width="9.421875" style="555" customWidth="1"/>
    <col min="3" max="3" width="21.57421875" style="28" customWidth="1"/>
    <col min="4" max="4" width="17.140625" style="28" customWidth="1"/>
    <col min="5" max="5" width="20.140625" style="28" customWidth="1"/>
    <col min="6" max="6" width="15.140625" style="28" customWidth="1"/>
    <col min="7" max="7" width="12.421875" style="28" customWidth="1"/>
    <col min="8" max="8" width="13.7109375" style="28" customWidth="1"/>
    <col min="9" max="9" width="13.140625" style="159" customWidth="1"/>
    <col min="10" max="10" width="9.8515625" style="28" customWidth="1"/>
    <col min="11" max="134" width="0.85546875" style="28" customWidth="1"/>
    <col min="135" max="135" width="0.71875" style="28" customWidth="1"/>
    <col min="136" max="136" width="0" style="28" hidden="1" customWidth="1"/>
    <col min="137" max="137" width="0.2890625" style="28" customWidth="1"/>
    <col min="138" max="139" width="0.85546875" style="28" customWidth="1"/>
    <col min="140" max="140" width="0.42578125" style="28" customWidth="1"/>
    <col min="141" max="145" width="0.85546875" style="28" customWidth="1"/>
    <col min="146" max="146" width="6.140625" style="28" customWidth="1"/>
    <col min="147" max="154" width="0.85546875" style="28" customWidth="1"/>
    <col min="155" max="155" width="0.2890625" style="28" customWidth="1"/>
    <col min="156" max="163" width="0.85546875" style="28" customWidth="1"/>
    <col min="164" max="164" width="0" style="28" hidden="1" customWidth="1"/>
    <col min="165" max="167" width="0.85546875" style="28" customWidth="1"/>
    <col min="168" max="168" width="5.28125" style="28" customWidth="1"/>
    <col min="169" max="201" width="0.85546875" style="28" customWidth="1"/>
    <col min="202" max="202" width="7.28125" style="28" customWidth="1"/>
    <col min="203" max="16384" width="0.85546875" style="28" customWidth="1"/>
  </cols>
  <sheetData>
    <row r="1" spans="7:11" ht="51" customHeight="1">
      <c r="G1" s="961" t="s">
        <v>298</v>
      </c>
      <c r="H1" s="961"/>
      <c r="I1" s="961"/>
      <c r="J1" s="961"/>
      <c r="K1" s="961"/>
    </row>
    <row r="2" spans="7:11" ht="13.5" customHeight="1">
      <c r="G2" s="162"/>
      <c r="H2" s="162"/>
      <c r="I2" s="162"/>
      <c r="J2" s="162"/>
      <c r="K2" s="162"/>
    </row>
    <row r="3" spans="1:11" ht="14.25" customHeight="1">
      <c r="A3" s="962" t="s">
        <v>157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</row>
    <row r="4" spans="1:11" ht="14.25" customHeight="1">
      <c r="A4" s="962" t="s">
        <v>9</v>
      </c>
      <c r="B4" s="962"/>
      <c r="C4" s="962"/>
      <c r="D4" s="962"/>
      <c r="E4" s="962"/>
      <c r="F4" s="962"/>
      <c r="G4" s="962"/>
      <c r="H4" s="962"/>
      <c r="I4" s="962"/>
      <c r="J4" s="962"/>
      <c r="K4" s="962"/>
    </row>
    <row r="5" spans="1:11" ht="14.25" customHeight="1">
      <c r="A5" s="962" t="s">
        <v>280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</row>
    <row r="6" ht="8.25" customHeight="1"/>
    <row r="7" spans="1:10" s="26" customFormat="1" ht="52.5" customHeight="1">
      <c r="A7" s="963"/>
      <c r="B7" s="958" t="s">
        <v>127</v>
      </c>
      <c r="C7" s="958" t="s">
        <v>128</v>
      </c>
      <c r="D7" s="958" t="s">
        <v>158</v>
      </c>
      <c r="E7" s="958" t="s">
        <v>129</v>
      </c>
      <c r="F7" s="956" t="s">
        <v>159</v>
      </c>
      <c r="G7" s="957"/>
      <c r="H7" s="956" t="s">
        <v>130</v>
      </c>
      <c r="I7" s="969"/>
      <c r="J7" s="963" t="s">
        <v>132</v>
      </c>
    </row>
    <row r="8" spans="1:10" s="26" customFormat="1" ht="15" customHeight="1">
      <c r="A8" s="963"/>
      <c r="B8" s="959"/>
      <c r="C8" s="959"/>
      <c r="D8" s="959"/>
      <c r="E8" s="959"/>
      <c r="F8" s="956" t="s">
        <v>131</v>
      </c>
      <c r="G8" s="957"/>
      <c r="H8" s="956" t="s">
        <v>265</v>
      </c>
      <c r="I8" s="957"/>
      <c r="J8" s="963"/>
    </row>
    <row r="9" spans="1:10" s="26" customFormat="1" ht="61.5" customHeight="1">
      <c r="A9" s="963"/>
      <c r="B9" s="960"/>
      <c r="C9" s="960"/>
      <c r="D9" s="960"/>
      <c r="E9" s="960"/>
      <c r="F9" s="41" t="s">
        <v>160</v>
      </c>
      <c r="G9" s="41" t="s">
        <v>161</v>
      </c>
      <c r="H9" s="42" t="s">
        <v>162</v>
      </c>
      <c r="I9" s="160" t="s">
        <v>163</v>
      </c>
      <c r="J9" s="963"/>
    </row>
    <row r="10" spans="1:10" ht="12" customHeight="1">
      <c r="A10" s="34"/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161">
        <v>8</v>
      </c>
      <c r="J10" s="37">
        <v>9</v>
      </c>
    </row>
    <row r="11" spans="1:10" s="3" customFormat="1" ht="25.5" customHeight="1">
      <c r="A11" s="31" t="s">
        <v>133</v>
      </c>
      <c r="B11" s="556" t="s">
        <v>165</v>
      </c>
      <c r="C11" s="35"/>
      <c r="D11" s="23" t="s">
        <v>80</v>
      </c>
      <c r="E11" s="23" t="s">
        <v>80</v>
      </c>
      <c r="F11" s="23" t="s">
        <v>80</v>
      </c>
      <c r="G11" s="38">
        <f>G12+G13+G14+G15+G16+G19+G20+G21</f>
        <v>12830.489999999998</v>
      </c>
      <c r="H11" s="23" t="s">
        <v>80</v>
      </c>
      <c r="I11" s="653">
        <f>I12+I13+I14+I15+I16+I19+I20+I21</f>
        <v>536263.0573999999</v>
      </c>
      <c r="J11" s="459">
        <v>1</v>
      </c>
    </row>
    <row r="12" spans="1:10" s="4" customFormat="1" ht="27" customHeight="1">
      <c r="A12" s="32" t="s">
        <v>215</v>
      </c>
      <c r="B12" s="557" t="s">
        <v>166</v>
      </c>
      <c r="C12" s="36" t="s">
        <v>134</v>
      </c>
      <c r="D12" s="651">
        <f>D23+D32</f>
        <v>0.28886</v>
      </c>
      <c r="E12" s="39">
        <f>E23+E32</f>
        <v>2758.5</v>
      </c>
      <c r="F12" s="24" t="s">
        <v>80</v>
      </c>
      <c r="G12" s="39">
        <f aca="true" t="shared" si="0" ref="G12:G19">G23+G32</f>
        <v>796.82</v>
      </c>
      <c r="H12" s="24" t="s">
        <v>80</v>
      </c>
      <c r="I12" s="652">
        <f>I23+I32</f>
        <v>33303.7887</v>
      </c>
      <c r="J12" s="460" t="s">
        <v>80</v>
      </c>
    </row>
    <row r="13" spans="1:10" s="4" customFormat="1" ht="38.25" customHeight="1">
      <c r="A13" s="552" t="s">
        <v>164</v>
      </c>
      <c r="B13" s="557" t="s">
        <v>167</v>
      </c>
      <c r="C13" s="43" t="s">
        <v>266</v>
      </c>
      <c r="D13" s="724">
        <f aca="true" t="shared" si="1" ref="D13:E19">D24+D33</f>
        <v>2.26269</v>
      </c>
      <c r="E13" s="44">
        <f t="shared" si="1"/>
        <v>561.1</v>
      </c>
      <c r="F13" s="24" t="s">
        <v>80</v>
      </c>
      <c r="G13" s="44">
        <f t="shared" si="0"/>
        <v>1269.61</v>
      </c>
      <c r="H13" s="24" t="s">
        <v>80</v>
      </c>
      <c r="I13" s="654">
        <f aca="true" t="shared" si="2" ref="I13:I19">I24+I33</f>
        <v>53064.6196</v>
      </c>
      <c r="J13" s="460" t="s">
        <v>80</v>
      </c>
    </row>
    <row r="14" spans="1:10" s="4" customFormat="1" ht="45.75" customHeight="1">
      <c r="A14" s="553"/>
      <c r="B14" s="557" t="s">
        <v>169</v>
      </c>
      <c r="C14" s="43" t="s">
        <v>170</v>
      </c>
      <c r="D14" s="724">
        <f t="shared" si="1"/>
        <v>0.539201</v>
      </c>
      <c r="E14" s="44">
        <f t="shared" si="1"/>
        <v>718.33</v>
      </c>
      <c r="F14" s="24" t="s">
        <v>80</v>
      </c>
      <c r="G14" s="44">
        <f t="shared" si="0"/>
        <v>387.32</v>
      </c>
      <c r="H14" s="24" t="s">
        <v>80</v>
      </c>
      <c r="I14" s="654">
        <f t="shared" si="2"/>
        <v>16188.4267</v>
      </c>
      <c r="J14" s="460" t="s">
        <v>80</v>
      </c>
    </row>
    <row r="15" spans="1:10" s="4" customFormat="1" ht="20.25" customHeight="1">
      <c r="A15" s="554"/>
      <c r="B15" s="557" t="s">
        <v>171</v>
      </c>
      <c r="C15" s="43" t="s">
        <v>135</v>
      </c>
      <c r="D15" s="724">
        <f t="shared" si="1"/>
        <v>1.90643</v>
      </c>
      <c r="E15" s="44">
        <f t="shared" si="1"/>
        <v>1571.95</v>
      </c>
      <c r="F15" s="24" t="s">
        <v>80</v>
      </c>
      <c r="G15" s="44">
        <f t="shared" si="0"/>
        <v>2996.81</v>
      </c>
      <c r="H15" s="24" t="s">
        <v>80</v>
      </c>
      <c r="I15" s="654">
        <f t="shared" si="2"/>
        <v>125254.57079999999</v>
      </c>
      <c r="J15" s="460" t="s">
        <v>80</v>
      </c>
    </row>
    <row r="16" spans="1:10" s="4" customFormat="1" ht="27" customHeight="1">
      <c r="A16" s="32" t="s">
        <v>172</v>
      </c>
      <c r="B16" s="557" t="s">
        <v>173</v>
      </c>
      <c r="C16" s="32" t="s">
        <v>143</v>
      </c>
      <c r="D16" s="651">
        <f t="shared" si="1"/>
        <v>0.165957</v>
      </c>
      <c r="E16" s="39">
        <f t="shared" si="1"/>
        <v>37089.27</v>
      </c>
      <c r="F16" s="24" t="s">
        <v>80</v>
      </c>
      <c r="G16" s="39">
        <f t="shared" si="0"/>
        <v>6155.22</v>
      </c>
      <c r="H16" s="24" t="s">
        <v>80</v>
      </c>
      <c r="I16" s="652">
        <f t="shared" si="2"/>
        <v>257263.5751</v>
      </c>
      <c r="J16" s="460" t="s">
        <v>80</v>
      </c>
    </row>
    <row r="17" spans="1:10" s="4" customFormat="1" ht="40.5" customHeight="1">
      <c r="A17" s="32" t="s">
        <v>174</v>
      </c>
      <c r="B17" s="557" t="s">
        <v>175</v>
      </c>
      <c r="C17" s="32" t="s">
        <v>136</v>
      </c>
      <c r="D17" s="651">
        <f t="shared" si="1"/>
        <v>0</v>
      </c>
      <c r="E17" s="39">
        <f t="shared" si="1"/>
        <v>0</v>
      </c>
      <c r="F17" s="24" t="s">
        <v>80</v>
      </c>
      <c r="G17" s="39">
        <f t="shared" si="0"/>
        <v>0</v>
      </c>
      <c r="H17" s="24" t="s">
        <v>80</v>
      </c>
      <c r="I17" s="652">
        <f t="shared" si="2"/>
        <v>0</v>
      </c>
      <c r="J17" s="460" t="s">
        <v>80</v>
      </c>
    </row>
    <row r="18" spans="1:10" s="4" customFormat="1" ht="35.25" customHeight="1">
      <c r="A18" s="33" t="s">
        <v>176</v>
      </c>
      <c r="B18" s="557" t="s">
        <v>177</v>
      </c>
      <c r="C18" s="32" t="s">
        <v>143</v>
      </c>
      <c r="D18" s="651">
        <f t="shared" si="1"/>
        <v>0</v>
      </c>
      <c r="E18" s="39">
        <f t="shared" si="1"/>
        <v>0</v>
      </c>
      <c r="F18" s="24" t="s">
        <v>80</v>
      </c>
      <c r="G18" s="39">
        <f t="shared" si="0"/>
        <v>0</v>
      </c>
      <c r="H18" s="24" t="s">
        <v>80</v>
      </c>
      <c r="I18" s="652">
        <f t="shared" si="2"/>
        <v>0</v>
      </c>
      <c r="J18" s="460" t="s">
        <v>80</v>
      </c>
    </row>
    <row r="19" spans="1:10" s="4" customFormat="1" ht="27" customHeight="1">
      <c r="A19" s="32" t="s">
        <v>178</v>
      </c>
      <c r="B19" s="557" t="s">
        <v>179</v>
      </c>
      <c r="C19" s="32" t="s">
        <v>220</v>
      </c>
      <c r="D19" s="651">
        <f t="shared" si="1"/>
        <v>0.057776</v>
      </c>
      <c r="E19" s="39">
        <f t="shared" si="1"/>
        <v>18128.18</v>
      </c>
      <c r="F19" s="24" t="s">
        <v>80</v>
      </c>
      <c r="G19" s="39">
        <f t="shared" si="0"/>
        <v>1047.37</v>
      </c>
      <c r="H19" s="24" t="s">
        <v>80</v>
      </c>
      <c r="I19" s="652">
        <f t="shared" si="2"/>
        <v>43775.8765</v>
      </c>
      <c r="J19" s="460" t="s">
        <v>80</v>
      </c>
    </row>
    <row r="20" spans="1:10" s="29" customFormat="1" ht="23.25" customHeight="1">
      <c r="A20" s="32" t="s">
        <v>180</v>
      </c>
      <c r="B20" s="557" t="s">
        <v>181</v>
      </c>
      <c r="C20" s="32" t="s">
        <v>136</v>
      </c>
      <c r="D20" s="651">
        <f>D40</f>
        <v>0</v>
      </c>
      <c r="E20" s="39">
        <f>E40</f>
        <v>0</v>
      </c>
      <c r="F20" s="24" t="s">
        <v>80</v>
      </c>
      <c r="G20" s="39">
        <f>G40</f>
        <v>0</v>
      </c>
      <c r="H20" s="24" t="s">
        <v>80</v>
      </c>
      <c r="I20" s="652">
        <f>I40</f>
        <v>0</v>
      </c>
      <c r="J20" s="460" t="s">
        <v>80</v>
      </c>
    </row>
    <row r="21" spans="1:10" s="3" customFormat="1" ht="25.5" customHeight="1">
      <c r="A21" s="32" t="s">
        <v>252</v>
      </c>
      <c r="B21" s="557" t="s">
        <v>182</v>
      </c>
      <c r="C21" s="35"/>
      <c r="D21" s="25" t="s">
        <v>80</v>
      </c>
      <c r="E21" s="24" t="s">
        <v>80</v>
      </c>
      <c r="F21" s="24" t="s">
        <v>80</v>
      </c>
      <c r="G21" s="39">
        <f>ROUND(I21/41796*1000,2)</f>
        <v>177.34</v>
      </c>
      <c r="H21" s="24" t="s">
        <v>80</v>
      </c>
      <c r="I21" s="652">
        <v>7412.2</v>
      </c>
      <c r="J21" s="461">
        <f>I21/I11</f>
        <v>0.013821947825265206</v>
      </c>
    </row>
    <row r="22" spans="1:10" s="4" customFormat="1" ht="48.75" customHeight="1">
      <c r="A22" s="31" t="s">
        <v>184</v>
      </c>
      <c r="B22" s="557" t="s">
        <v>185</v>
      </c>
      <c r="C22" s="36"/>
      <c r="D22" s="25" t="s">
        <v>80</v>
      </c>
      <c r="E22" s="24" t="s">
        <v>80</v>
      </c>
      <c r="F22" s="24" t="s">
        <v>80</v>
      </c>
      <c r="G22" s="38">
        <f>G23+G24+G25+G26+G27+G30</f>
        <v>12653.149999999998</v>
      </c>
      <c r="H22" s="24" t="s">
        <v>80</v>
      </c>
      <c r="I22" s="653">
        <f>I23+I24+I25+I26+I27+I30</f>
        <v>528850.8574</v>
      </c>
      <c r="J22" s="459">
        <f>I22/I11</f>
        <v>0.9861780521747349</v>
      </c>
    </row>
    <row r="23" spans="1:10" s="4" customFormat="1" ht="20.25" customHeight="1">
      <c r="A23" s="32" t="s">
        <v>94</v>
      </c>
      <c r="B23" s="557" t="s">
        <v>186</v>
      </c>
      <c r="C23" s="36" t="s">
        <v>134</v>
      </c>
      <c r="D23" s="651">
        <v>0.28886</v>
      </c>
      <c r="E23" s="39">
        <v>2758.5</v>
      </c>
      <c r="F23" s="24" t="s">
        <v>80</v>
      </c>
      <c r="G23" s="39">
        <f>ROUND(D23*E23,2)</f>
        <v>796.82</v>
      </c>
      <c r="H23" s="24" t="s">
        <v>80</v>
      </c>
      <c r="I23" s="652">
        <f>ROUND(G23*41796,1)/1000-0.1</f>
        <v>33303.7887</v>
      </c>
      <c r="J23" s="460" t="s">
        <v>80</v>
      </c>
    </row>
    <row r="24" spans="1:11" s="4" customFormat="1" ht="39.75" customHeight="1">
      <c r="A24" s="965" t="s">
        <v>164</v>
      </c>
      <c r="B24" s="557" t="s">
        <v>187</v>
      </c>
      <c r="C24" s="43" t="s">
        <v>168</v>
      </c>
      <c r="D24" s="650">
        <v>2.26269</v>
      </c>
      <c r="E24" s="39">
        <v>561.1</v>
      </c>
      <c r="F24" s="24" t="s">
        <v>80</v>
      </c>
      <c r="G24" s="39">
        <f>ROUND(D24*E24,2)+0.01</f>
        <v>1269.61</v>
      </c>
      <c r="H24" s="24" t="s">
        <v>80</v>
      </c>
      <c r="I24" s="652">
        <f>ROUND(G24*41796,1)/1000</f>
        <v>53064.6196</v>
      </c>
      <c r="J24" s="460" t="s">
        <v>80</v>
      </c>
      <c r="K24" s="30"/>
    </row>
    <row r="25" spans="1:10" s="4" customFormat="1" ht="42" customHeight="1">
      <c r="A25" s="966"/>
      <c r="B25" s="557" t="s">
        <v>188</v>
      </c>
      <c r="C25" s="43" t="s">
        <v>170</v>
      </c>
      <c r="D25" s="650">
        <v>0.539201</v>
      </c>
      <c r="E25" s="39">
        <v>718.33</v>
      </c>
      <c r="F25" s="24" t="s">
        <v>80</v>
      </c>
      <c r="G25" s="39">
        <f aca="true" t="shared" si="3" ref="G25:G30">ROUND(D25*E25,2)</f>
        <v>387.32</v>
      </c>
      <c r="H25" s="24" t="s">
        <v>80</v>
      </c>
      <c r="I25" s="652">
        <f>ROUND(G25*41796,1)/1000</f>
        <v>16188.4267</v>
      </c>
      <c r="J25" s="460" t="s">
        <v>80</v>
      </c>
    </row>
    <row r="26" spans="1:10" s="4" customFormat="1" ht="18" customHeight="1">
      <c r="A26" s="967"/>
      <c r="B26" s="557" t="s">
        <v>189</v>
      </c>
      <c r="C26" s="43" t="s">
        <v>135</v>
      </c>
      <c r="D26" s="650">
        <v>1.90643</v>
      </c>
      <c r="E26" s="39">
        <v>1571.95</v>
      </c>
      <c r="F26" s="24" t="s">
        <v>80</v>
      </c>
      <c r="G26" s="39">
        <f t="shared" si="3"/>
        <v>2996.81</v>
      </c>
      <c r="H26" s="24" t="s">
        <v>80</v>
      </c>
      <c r="I26" s="652">
        <f>ROUND(G26*41796,1)/1000-0.1</f>
        <v>125254.57079999999</v>
      </c>
      <c r="J26" s="460" t="s">
        <v>80</v>
      </c>
    </row>
    <row r="27" spans="1:10" s="4" customFormat="1" ht="21" customHeight="1">
      <c r="A27" s="32" t="s">
        <v>190</v>
      </c>
      <c r="B27" s="557" t="s">
        <v>191</v>
      </c>
      <c r="C27" s="32" t="s">
        <v>143</v>
      </c>
      <c r="D27" s="649">
        <v>0.165957</v>
      </c>
      <c r="E27" s="39">
        <v>37089.27</v>
      </c>
      <c r="F27" s="24" t="s">
        <v>80</v>
      </c>
      <c r="G27" s="39">
        <f t="shared" si="3"/>
        <v>6155.22</v>
      </c>
      <c r="H27" s="24" t="s">
        <v>80</v>
      </c>
      <c r="I27" s="652">
        <f>ROUND(G27*41796,1)/1000</f>
        <v>257263.5751</v>
      </c>
      <c r="J27" s="460" t="s">
        <v>80</v>
      </c>
    </row>
    <row r="28" spans="1:10" s="4" customFormat="1" ht="25.5" customHeight="1">
      <c r="A28" s="32" t="s">
        <v>192</v>
      </c>
      <c r="B28" s="557" t="s">
        <v>193</v>
      </c>
      <c r="C28" s="32" t="s">
        <v>136</v>
      </c>
      <c r="D28" s="649">
        <f>'приложение 1'!K12/'приложение 1'!G15</f>
        <v>0</v>
      </c>
      <c r="E28" s="39">
        <v>0</v>
      </c>
      <c r="F28" s="24" t="s">
        <v>80</v>
      </c>
      <c r="G28" s="39">
        <f t="shared" si="3"/>
        <v>0</v>
      </c>
      <c r="H28" s="24" t="s">
        <v>80</v>
      </c>
      <c r="I28" s="652">
        <f>ROUND(G28*41796,1)</f>
        <v>0</v>
      </c>
      <c r="J28" s="460" t="s">
        <v>80</v>
      </c>
    </row>
    <row r="29" spans="1:10" s="4" customFormat="1" ht="21" customHeight="1">
      <c r="A29" s="33" t="s">
        <v>194</v>
      </c>
      <c r="B29" s="557" t="s">
        <v>195</v>
      </c>
      <c r="C29" s="32" t="s">
        <v>143</v>
      </c>
      <c r="D29" s="649">
        <v>0</v>
      </c>
      <c r="E29" s="39">
        <v>0</v>
      </c>
      <c r="F29" s="24" t="s">
        <v>80</v>
      </c>
      <c r="G29" s="39">
        <f t="shared" si="3"/>
        <v>0</v>
      </c>
      <c r="H29" s="24" t="s">
        <v>80</v>
      </c>
      <c r="I29" s="652">
        <f>ROUND(G29*41796,1)</f>
        <v>0</v>
      </c>
      <c r="J29" s="460" t="s">
        <v>80</v>
      </c>
    </row>
    <row r="30" spans="1:10" s="4" customFormat="1" ht="21" customHeight="1">
      <c r="A30" s="32" t="s">
        <v>137</v>
      </c>
      <c r="B30" s="557" t="s">
        <v>196</v>
      </c>
      <c r="C30" s="32" t="s">
        <v>220</v>
      </c>
      <c r="D30" s="651">
        <v>0.057776</v>
      </c>
      <c r="E30" s="39">
        <v>18128.18</v>
      </c>
      <c r="F30" s="24" t="s">
        <v>80</v>
      </c>
      <c r="G30" s="39">
        <f t="shared" si="3"/>
        <v>1047.37</v>
      </c>
      <c r="H30" s="24" t="s">
        <v>80</v>
      </c>
      <c r="I30" s="652">
        <f>ROUND(G30*41796,1)/1000</f>
        <v>43775.8765</v>
      </c>
      <c r="J30" s="460" t="s">
        <v>80</v>
      </c>
    </row>
    <row r="31" spans="1:10" s="4" customFormat="1" ht="28.5" customHeight="1">
      <c r="A31" s="31" t="s">
        <v>140</v>
      </c>
      <c r="B31" s="557" t="s">
        <v>197</v>
      </c>
      <c r="C31" s="36"/>
      <c r="D31" s="25" t="s">
        <v>80</v>
      </c>
      <c r="E31" s="24" t="s">
        <v>80</v>
      </c>
      <c r="F31" s="24" t="s">
        <v>80</v>
      </c>
      <c r="G31" s="39">
        <f>G32+G33+G34+G35+G36+G39+G40</f>
        <v>0</v>
      </c>
      <c r="H31" s="24" t="s">
        <v>80</v>
      </c>
      <c r="I31" s="623">
        <f>I32+I33+I34+I35+I36+I39+I40</f>
        <v>0</v>
      </c>
      <c r="J31" s="460"/>
    </row>
    <row r="32" spans="1:10" s="4" customFormat="1" ht="13.5" customHeight="1">
      <c r="A32" s="32" t="s">
        <v>94</v>
      </c>
      <c r="B32" s="557" t="s">
        <v>198</v>
      </c>
      <c r="C32" s="36" t="s">
        <v>134</v>
      </c>
      <c r="D32" s="45">
        <v>0</v>
      </c>
      <c r="E32" s="39">
        <v>0</v>
      </c>
      <c r="F32" s="24" t="s">
        <v>80</v>
      </c>
      <c r="G32" s="39">
        <v>0</v>
      </c>
      <c r="H32" s="24" t="s">
        <v>80</v>
      </c>
      <c r="I32" s="623">
        <v>0</v>
      </c>
      <c r="J32" s="460" t="s">
        <v>80</v>
      </c>
    </row>
    <row r="33" spans="1:10" s="4" customFormat="1" ht="41.25" customHeight="1">
      <c r="A33" s="965" t="s">
        <v>164</v>
      </c>
      <c r="B33" s="557" t="s">
        <v>202</v>
      </c>
      <c r="C33" s="43" t="s">
        <v>168</v>
      </c>
      <c r="D33" s="45">
        <v>0</v>
      </c>
      <c r="E33" s="39">
        <v>0</v>
      </c>
      <c r="F33" s="24" t="s">
        <v>80</v>
      </c>
      <c r="G33" s="39">
        <v>0</v>
      </c>
      <c r="H33" s="24" t="s">
        <v>80</v>
      </c>
      <c r="I33" s="623">
        <v>0</v>
      </c>
      <c r="J33" s="460" t="s">
        <v>80</v>
      </c>
    </row>
    <row r="34" spans="1:10" s="4" customFormat="1" ht="50.25" customHeight="1">
      <c r="A34" s="966"/>
      <c r="B34" s="557" t="s">
        <v>203</v>
      </c>
      <c r="C34" s="43" t="s">
        <v>170</v>
      </c>
      <c r="D34" s="45">
        <v>0</v>
      </c>
      <c r="E34" s="39">
        <v>0</v>
      </c>
      <c r="F34" s="24" t="s">
        <v>80</v>
      </c>
      <c r="G34" s="39">
        <v>0</v>
      </c>
      <c r="H34" s="24" t="s">
        <v>80</v>
      </c>
      <c r="I34" s="623">
        <v>0</v>
      </c>
      <c r="J34" s="460" t="s">
        <v>80</v>
      </c>
    </row>
    <row r="35" spans="1:10" s="4" customFormat="1" ht="13.5" customHeight="1">
      <c r="A35" s="967"/>
      <c r="B35" s="557" t="s">
        <v>204</v>
      </c>
      <c r="C35" s="43" t="s">
        <v>135</v>
      </c>
      <c r="D35" s="45">
        <v>0</v>
      </c>
      <c r="E35" s="39">
        <v>0</v>
      </c>
      <c r="F35" s="24" t="s">
        <v>80</v>
      </c>
      <c r="G35" s="39">
        <v>0</v>
      </c>
      <c r="H35" s="24" t="s">
        <v>80</v>
      </c>
      <c r="I35" s="623">
        <v>0</v>
      </c>
      <c r="J35" s="460" t="s">
        <v>80</v>
      </c>
    </row>
    <row r="36" spans="1:10" s="4" customFormat="1" ht="26.25" customHeight="1">
      <c r="A36" s="32" t="s">
        <v>190</v>
      </c>
      <c r="B36" s="557" t="s">
        <v>205</v>
      </c>
      <c r="C36" s="32" t="s">
        <v>143</v>
      </c>
      <c r="D36" s="45">
        <v>0</v>
      </c>
      <c r="E36" s="39">
        <v>0</v>
      </c>
      <c r="F36" s="24" t="s">
        <v>80</v>
      </c>
      <c r="G36" s="39">
        <v>0</v>
      </c>
      <c r="H36" s="24" t="s">
        <v>80</v>
      </c>
      <c r="I36" s="623">
        <v>0</v>
      </c>
      <c r="J36" s="460" t="s">
        <v>80</v>
      </c>
    </row>
    <row r="37" spans="1:10" s="4" customFormat="1" ht="26.25" customHeight="1">
      <c r="A37" s="32" t="s">
        <v>206</v>
      </c>
      <c r="B37" s="557" t="s">
        <v>207</v>
      </c>
      <c r="C37" s="32" t="s">
        <v>136</v>
      </c>
      <c r="D37" s="45">
        <v>0</v>
      </c>
      <c r="E37" s="39">
        <v>0</v>
      </c>
      <c r="F37" s="24" t="s">
        <v>80</v>
      </c>
      <c r="G37" s="39">
        <v>0</v>
      </c>
      <c r="H37" s="24" t="s">
        <v>80</v>
      </c>
      <c r="I37" s="623">
        <v>0</v>
      </c>
      <c r="J37" s="460" t="s">
        <v>80</v>
      </c>
    </row>
    <row r="38" spans="1:10" s="4" customFormat="1" ht="20.25" customHeight="1">
      <c r="A38" s="33" t="s">
        <v>194</v>
      </c>
      <c r="B38" s="557" t="s">
        <v>208</v>
      </c>
      <c r="C38" s="32" t="s">
        <v>143</v>
      </c>
      <c r="D38" s="45">
        <v>0</v>
      </c>
      <c r="E38" s="39">
        <v>0</v>
      </c>
      <c r="F38" s="24" t="s">
        <v>80</v>
      </c>
      <c r="G38" s="39">
        <v>0</v>
      </c>
      <c r="H38" s="24" t="s">
        <v>80</v>
      </c>
      <c r="I38" s="623">
        <v>0</v>
      </c>
      <c r="J38" s="460" t="s">
        <v>80</v>
      </c>
    </row>
    <row r="39" spans="1:10" s="4" customFormat="1" ht="19.5" customHeight="1">
      <c r="A39" s="32" t="s">
        <v>137</v>
      </c>
      <c r="B39" s="557" t="s">
        <v>209</v>
      </c>
      <c r="C39" s="32" t="s">
        <v>220</v>
      </c>
      <c r="D39" s="45">
        <v>0</v>
      </c>
      <c r="E39" s="39">
        <v>0</v>
      </c>
      <c r="F39" s="24" t="s">
        <v>80</v>
      </c>
      <c r="G39" s="39">
        <v>0</v>
      </c>
      <c r="H39" s="24" t="s">
        <v>80</v>
      </c>
      <c r="I39" s="623">
        <v>0</v>
      </c>
      <c r="J39" s="460" t="s">
        <v>80</v>
      </c>
    </row>
    <row r="40" spans="1:10" s="29" customFormat="1" ht="20.25" customHeight="1">
      <c r="A40" s="32" t="s">
        <v>210</v>
      </c>
      <c r="B40" s="557" t="s">
        <v>211</v>
      </c>
      <c r="C40" s="32" t="s">
        <v>136</v>
      </c>
      <c r="D40" s="45">
        <v>0</v>
      </c>
      <c r="E40" s="39">
        <v>0</v>
      </c>
      <c r="F40" s="24" t="s">
        <v>80</v>
      </c>
      <c r="G40" s="39">
        <v>0</v>
      </c>
      <c r="H40" s="24" t="s">
        <v>80</v>
      </c>
      <c r="I40" s="623">
        <v>0</v>
      </c>
      <c r="J40" s="460" t="s">
        <v>80</v>
      </c>
    </row>
    <row r="41" spans="1:10" s="3" customFormat="1" ht="18.75" customHeight="1">
      <c r="A41" s="31" t="s">
        <v>212</v>
      </c>
      <c r="B41" s="556" t="s">
        <v>213</v>
      </c>
      <c r="C41" s="35"/>
      <c r="D41" s="40" t="s">
        <v>80</v>
      </c>
      <c r="E41" s="40" t="s">
        <v>80</v>
      </c>
      <c r="F41" s="38"/>
      <c r="G41" s="38">
        <f>G11</f>
        <v>12830.489999999998</v>
      </c>
      <c r="H41" s="40"/>
      <c r="I41" s="624">
        <f>I11</f>
        <v>536263.0573999999</v>
      </c>
      <c r="J41" s="40">
        <v>100</v>
      </c>
    </row>
    <row r="42" ht="10.5" customHeight="1"/>
    <row r="43" spans="1:10" ht="13.5" customHeight="1">
      <c r="A43" s="968" t="s">
        <v>250</v>
      </c>
      <c r="B43" s="968"/>
      <c r="C43" s="968"/>
      <c r="D43" s="968"/>
      <c r="E43" s="968"/>
      <c r="F43" s="968"/>
      <c r="G43" s="968"/>
      <c r="H43" s="968"/>
      <c r="I43" s="968"/>
      <c r="J43" s="968"/>
    </row>
    <row r="44" spans="1:10" ht="11.25" customHeight="1">
      <c r="A44" s="948" t="s">
        <v>251</v>
      </c>
      <c r="B44" s="948"/>
      <c r="C44" s="948"/>
      <c r="D44" s="948"/>
      <c r="E44" s="948"/>
      <c r="F44" s="948"/>
      <c r="G44" s="948"/>
      <c r="H44" s="948"/>
      <c r="I44" s="948"/>
      <c r="J44" s="948"/>
    </row>
    <row r="45" spans="1:10" ht="11.25" customHeight="1">
      <c r="A45" s="948" t="s">
        <v>214</v>
      </c>
      <c r="B45" s="948"/>
      <c r="C45" s="948"/>
      <c r="D45" s="948"/>
      <c r="E45" s="948"/>
      <c r="F45" s="948"/>
      <c r="G45" s="948"/>
      <c r="H45" s="948"/>
      <c r="I45" s="948"/>
      <c r="J45" s="948"/>
    </row>
    <row r="46" spans="1:10" ht="14.25" customHeight="1">
      <c r="A46" s="964"/>
      <c r="B46" s="964"/>
      <c r="C46" s="964"/>
      <c r="D46" s="964"/>
      <c r="E46" s="964"/>
      <c r="F46" s="964"/>
      <c r="G46" s="964"/>
      <c r="H46" s="964"/>
      <c r="I46" s="964"/>
      <c r="J46" s="964"/>
    </row>
  </sheetData>
  <sheetProtection/>
  <mergeCells count="20">
    <mergeCell ref="B7:B9"/>
    <mergeCell ref="F7:G7"/>
    <mergeCell ref="J7:J9"/>
    <mergeCell ref="A46:J46"/>
    <mergeCell ref="A24:A26"/>
    <mergeCell ref="A33:A35"/>
    <mergeCell ref="A43:J43"/>
    <mergeCell ref="H7:I7"/>
    <mergeCell ref="A45:J45"/>
    <mergeCell ref="A44:J44"/>
    <mergeCell ref="H8:I8"/>
    <mergeCell ref="C7:C9"/>
    <mergeCell ref="G1:K1"/>
    <mergeCell ref="F8:G8"/>
    <mergeCell ref="E7:E9"/>
    <mergeCell ref="D7:D9"/>
    <mergeCell ref="A3:K3"/>
    <mergeCell ref="A4:K4"/>
    <mergeCell ref="A5:K5"/>
    <mergeCell ref="A7:A9"/>
  </mergeCells>
  <printOptions/>
  <pageMargins left="0" right="0" top="0.68" bottom="0.31" header="0.22" footer="0.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29"/>
  <sheetViews>
    <sheetView view="pageBreakPreview" zoomScaleSheetLayoutView="100" zoomScalePageLayoutView="0" workbookViewId="0" topLeftCell="A1">
      <selection activeCell="L1" sqref="L1:N1"/>
    </sheetView>
  </sheetViews>
  <sheetFormatPr defaultColWidth="9.140625" defaultRowHeight="15"/>
  <cols>
    <col min="1" max="1" width="50.7109375" style="20" customWidth="1"/>
    <col min="2" max="5" width="7.8515625" style="20" hidden="1" customWidth="1"/>
    <col min="6" max="6" width="9.421875" style="56" hidden="1" customWidth="1"/>
    <col min="7" max="7" width="15.8515625" style="56" customWidth="1"/>
    <col min="8" max="8" width="12.28125" style="55" hidden="1" customWidth="1"/>
    <col min="9" max="9" width="17.28125" style="121" hidden="1" customWidth="1"/>
    <col min="10" max="11" width="15.7109375" style="56" customWidth="1"/>
    <col min="12" max="12" width="15.57421875" style="56" customWidth="1"/>
    <col min="13" max="13" width="12.7109375" style="56" customWidth="1"/>
    <col min="14" max="14" width="20.00390625" style="125" customWidth="1"/>
    <col min="15" max="15" width="24.140625" style="56" customWidth="1"/>
    <col min="16" max="16" width="15.8515625" style="56" customWidth="1"/>
    <col min="17" max="17" width="15.8515625" style="20" customWidth="1"/>
    <col min="18" max="18" width="12.7109375" style="20" customWidth="1"/>
    <col min="19" max="19" width="19.140625" style="20" customWidth="1"/>
    <col min="20" max="20" width="13.00390625" style="20" customWidth="1"/>
    <col min="21" max="21" width="13.8515625" style="20" customWidth="1"/>
    <col min="22" max="22" width="12.421875" style="20" customWidth="1"/>
    <col min="23" max="23" width="10.57421875" style="20" customWidth="1"/>
    <col min="24" max="16384" width="9.140625" style="20" customWidth="1"/>
  </cols>
  <sheetData>
    <row r="1" spans="1:16" ht="53.25" customHeight="1">
      <c r="A1" s="61"/>
      <c r="B1" s="61"/>
      <c r="C1" s="61"/>
      <c r="D1" s="61"/>
      <c r="E1" s="61"/>
      <c r="F1" s="62"/>
      <c r="G1" s="62"/>
      <c r="H1" s="63"/>
      <c r="I1" s="110"/>
      <c r="J1" s="62"/>
      <c r="L1" s="755" t="s">
        <v>289</v>
      </c>
      <c r="M1" s="755"/>
      <c r="N1" s="755"/>
      <c r="O1" s="53"/>
      <c r="P1" s="53"/>
    </row>
    <row r="2" spans="1:15" ht="42.75" customHeight="1">
      <c r="A2" s="61"/>
      <c r="B2" s="61"/>
      <c r="C2" s="61"/>
      <c r="D2" s="61"/>
      <c r="E2" s="61"/>
      <c r="F2" s="62"/>
      <c r="G2" s="62"/>
      <c r="H2" s="63"/>
      <c r="I2" s="110"/>
      <c r="J2" s="62"/>
      <c r="K2" s="62"/>
      <c r="L2" s="62"/>
      <c r="M2" s="62"/>
      <c r="N2" s="122"/>
      <c r="O2" s="62"/>
    </row>
    <row r="3" spans="1:15" ht="51" customHeight="1">
      <c r="A3" s="795" t="s">
        <v>282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</row>
    <row r="4" spans="1:15" ht="21" customHeight="1" thickBot="1">
      <c r="A4" s="61"/>
      <c r="B4" s="61"/>
      <c r="C4" s="61"/>
      <c r="D4" s="61"/>
      <c r="E4" s="61"/>
      <c r="F4" s="62"/>
      <c r="G4" s="62"/>
      <c r="H4" s="63"/>
      <c r="I4" s="110"/>
      <c r="J4" s="62"/>
      <c r="K4" s="62"/>
      <c r="L4" s="62"/>
      <c r="M4" s="62"/>
      <c r="N4" s="122"/>
      <c r="O4" s="62"/>
    </row>
    <row r="5" spans="1:17" ht="58.5" customHeight="1" thickBot="1">
      <c r="A5" s="773" t="s">
        <v>82</v>
      </c>
      <c r="B5" s="776" t="s">
        <v>223</v>
      </c>
      <c r="C5" s="776"/>
      <c r="D5" s="776"/>
      <c r="E5" s="776"/>
      <c r="F5" s="777"/>
      <c r="G5" s="787" t="s">
        <v>238</v>
      </c>
      <c r="H5" s="472"/>
      <c r="I5" s="472"/>
      <c r="J5" s="778" t="s">
        <v>273</v>
      </c>
      <c r="K5" s="779"/>
      <c r="L5" s="779"/>
      <c r="M5" s="779"/>
      <c r="N5" s="780"/>
      <c r="O5" s="784" t="s">
        <v>239</v>
      </c>
      <c r="P5" s="88"/>
      <c r="Q5" s="46"/>
    </row>
    <row r="6" spans="1:17" ht="29.25" customHeight="1">
      <c r="A6" s="774"/>
      <c r="B6" s="781" t="s">
        <v>89</v>
      </c>
      <c r="C6" s="781"/>
      <c r="D6" s="781"/>
      <c r="E6" s="781"/>
      <c r="F6" s="782" t="s">
        <v>221</v>
      </c>
      <c r="G6" s="788"/>
      <c r="H6" s="89"/>
      <c r="I6" s="89"/>
      <c r="J6" s="790" t="s">
        <v>89</v>
      </c>
      <c r="K6" s="791"/>
      <c r="L6" s="791"/>
      <c r="M6" s="792"/>
      <c r="N6" s="793" t="s">
        <v>221</v>
      </c>
      <c r="O6" s="785"/>
      <c r="P6" s="88"/>
      <c r="Q6" s="46"/>
    </row>
    <row r="7" spans="1:17" ht="100.5" customHeight="1" thickBot="1">
      <c r="A7" s="775"/>
      <c r="B7" s="90" t="s">
        <v>109</v>
      </c>
      <c r="C7" s="90" t="s">
        <v>110</v>
      </c>
      <c r="D7" s="90" t="s">
        <v>111</v>
      </c>
      <c r="E7" s="90" t="s">
        <v>228</v>
      </c>
      <c r="F7" s="783"/>
      <c r="G7" s="789"/>
      <c r="H7" s="101"/>
      <c r="I7" s="102"/>
      <c r="J7" s="468" t="s">
        <v>109</v>
      </c>
      <c r="K7" s="469" t="s">
        <v>110</v>
      </c>
      <c r="L7" s="469" t="s">
        <v>111</v>
      </c>
      <c r="M7" s="467" t="s">
        <v>228</v>
      </c>
      <c r="N7" s="794"/>
      <c r="O7" s="786"/>
      <c r="P7" s="88"/>
      <c r="Q7" s="46"/>
    </row>
    <row r="8" spans="1:18" ht="35.25" customHeight="1">
      <c r="A8" s="98" t="s">
        <v>229</v>
      </c>
      <c r="B8" s="99">
        <v>36</v>
      </c>
      <c r="C8" s="99">
        <v>36</v>
      </c>
      <c r="D8" s="99">
        <v>36</v>
      </c>
      <c r="E8" s="99">
        <v>37</v>
      </c>
      <c r="F8" s="100">
        <f>B8+C8+D8+E8</f>
        <v>145</v>
      </c>
      <c r="G8" s="401">
        <f>'приложение 1'!C11</f>
        <v>176</v>
      </c>
      <c r="H8" s="127">
        <f>2086.2</f>
        <v>2086.2</v>
      </c>
      <c r="I8" s="112">
        <f>G8*H8</f>
        <v>367171.19999999995</v>
      </c>
      <c r="J8" s="111">
        <v>2974</v>
      </c>
      <c r="K8" s="111">
        <v>2974</v>
      </c>
      <c r="L8" s="111">
        <v>2974</v>
      </c>
      <c r="M8" s="111">
        <v>2975</v>
      </c>
      <c r="N8" s="655">
        <f>M8+L8+K8+J8</f>
        <v>11897</v>
      </c>
      <c r="O8" s="131">
        <f>G8+N8</f>
        <v>12073</v>
      </c>
      <c r="P8" s="88"/>
      <c r="Q8" s="46"/>
      <c r="R8" s="27"/>
    </row>
    <row r="9" spans="1:17" ht="24.75" customHeight="1">
      <c r="A9" s="79" t="s">
        <v>112</v>
      </c>
      <c r="B9" s="64"/>
      <c r="C9" s="64"/>
      <c r="D9" s="64"/>
      <c r="E9" s="64"/>
      <c r="F9" s="97">
        <f aca="true" t="shared" si="0" ref="F9:F19">B9+C9+D9+E9</f>
        <v>0</v>
      </c>
      <c r="G9" s="402"/>
      <c r="H9" s="128"/>
      <c r="I9" s="114"/>
      <c r="J9" s="66"/>
      <c r="K9" s="66"/>
      <c r="L9" s="66"/>
      <c r="M9" s="130"/>
      <c r="N9" s="420"/>
      <c r="O9" s="132"/>
      <c r="P9" s="88"/>
      <c r="Q9" s="46"/>
    </row>
    <row r="10" spans="1:28" ht="34.5" customHeight="1">
      <c r="A10" s="80" t="s">
        <v>235</v>
      </c>
      <c r="B10" s="96" t="s">
        <v>231</v>
      </c>
      <c r="C10" s="96" t="s">
        <v>231</v>
      </c>
      <c r="D10" s="96" t="s">
        <v>231</v>
      </c>
      <c r="E10" s="96" t="s">
        <v>232</v>
      </c>
      <c r="F10" s="97">
        <f t="shared" si="0"/>
        <v>2765</v>
      </c>
      <c r="G10" s="402">
        <f>'приложение 1'!G11</f>
        <v>2800</v>
      </c>
      <c r="H10" s="128">
        <v>428.17</v>
      </c>
      <c r="I10" s="114">
        <f>G10*H10</f>
        <v>1198876</v>
      </c>
      <c r="J10" s="66">
        <v>22943</v>
      </c>
      <c r="K10" s="66">
        <v>22943</v>
      </c>
      <c r="L10" s="66">
        <v>22942</v>
      </c>
      <c r="M10" s="66">
        <v>22943</v>
      </c>
      <c r="N10" s="132">
        <f>M10+L10+K10+J10</f>
        <v>91771</v>
      </c>
      <c r="O10" s="132">
        <f>G10+N10</f>
        <v>94571</v>
      </c>
      <c r="P10" s="88"/>
      <c r="Q10" s="46"/>
      <c r="R10" s="27"/>
      <c r="S10" s="46"/>
      <c r="T10" s="46"/>
      <c r="U10" s="46"/>
      <c r="V10" s="46"/>
      <c r="AB10" s="47"/>
    </row>
    <row r="11" spans="1:28" ht="21.75" customHeight="1" hidden="1">
      <c r="A11" s="81" t="s">
        <v>89</v>
      </c>
      <c r="B11" s="12"/>
      <c r="C11" s="12"/>
      <c r="D11" s="12"/>
      <c r="E11" s="12"/>
      <c r="F11" s="97">
        <f t="shared" si="0"/>
        <v>0</v>
      </c>
      <c r="G11" s="402"/>
      <c r="H11" s="128"/>
      <c r="I11" s="114"/>
      <c r="J11" s="66"/>
      <c r="K11" s="66"/>
      <c r="L11" s="66"/>
      <c r="M11" s="130"/>
      <c r="N11" s="420">
        <f aca="true" t="shared" si="1" ref="N11:N19">M11+L11+K11+J11</f>
        <v>0</v>
      </c>
      <c r="O11" s="134"/>
      <c r="P11" s="88"/>
      <c r="Q11" s="46"/>
      <c r="R11" s="27"/>
      <c r="S11" s="46"/>
      <c r="T11" s="46"/>
      <c r="U11" s="46"/>
      <c r="V11" s="46"/>
      <c r="AB11" s="47"/>
    </row>
    <row r="12" spans="1:28" ht="30" customHeight="1" hidden="1">
      <c r="A12" s="80" t="s">
        <v>226</v>
      </c>
      <c r="B12" s="91"/>
      <c r="C12" s="91"/>
      <c r="D12" s="91"/>
      <c r="E12" s="91"/>
      <c r="F12" s="97">
        <f t="shared" si="0"/>
        <v>0</v>
      </c>
      <c r="G12" s="402"/>
      <c r="H12" s="128"/>
      <c r="I12" s="114"/>
      <c r="J12" s="66">
        <v>8416</v>
      </c>
      <c r="K12" s="66">
        <v>8417</v>
      </c>
      <c r="L12" s="66">
        <v>8417</v>
      </c>
      <c r="M12" s="130">
        <v>8417</v>
      </c>
      <c r="N12" s="420">
        <f t="shared" si="1"/>
        <v>33667</v>
      </c>
      <c r="O12" s="132">
        <f>G12+N12</f>
        <v>33667</v>
      </c>
      <c r="P12" s="88"/>
      <c r="Q12" s="46"/>
      <c r="R12" s="27"/>
      <c r="S12" s="46"/>
      <c r="T12" s="46"/>
      <c r="U12" s="46"/>
      <c r="V12" s="46"/>
      <c r="AB12" s="47"/>
    </row>
    <row r="13" spans="1:28" ht="30" customHeight="1" hidden="1">
      <c r="A13" s="82" t="s">
        <v>227</v>
      </c>
      <c r="B13" s="92"/>
      <c r="C13" s="92"/>
      <c r="D13" s="92"/>
      <c r="E13" s="92"/>
      <c r="F13" s="97">
        <f t="shared" si="0"/>
        <v>0</v>
      </c>
      <c r="G13" s="402"/>
      <c r="H13" s="128"/>
      <c r="I13" s="114"/>
      <c r="J13" s="66">
        <v>15910</v>
      </c>
      <c r="K13" s="66">
        <v>15910</v>
      </c>
      <c r="L13" s="66">
        <v>15910</v>
      </c>
      <c r="M13" s="66">
        <v>15910</v>
      </c>
      <c r="N13" s="420">
        <f t="shared" si="1"/>
        <v>63640</v>
      </c>
      <c r="O13" s="132">
        <f>G13+N13</f>
        <v>63640</v>
      </c>
      <c r="P13" s="88"/>
      <c r="Q13" s="46"/>
      <c r="R13" s="27"/>
      <c r="S13" s="46"/>
      <c r="T13" s="46"/>
      <c r="U13" s="46"/>
      <c r="V13" s="46"/>
      <c r="AB13" s="47"/>
    </row>
    <row r="14" spans="1:28" ht="36.75" customHeight="1">
      <c r="A14" s="80" t="s">
        <v>236</v>
      </c>
      <c r="B14" s="91"/>
      <c r="C14" s="91"/>
      <c r="D14" s="91"/>
      <c r="E14" s="91"/>
      <c r="F14" s="97">
        <f t="shared" si="0"/>
        <v>0</v>
      </c>
      <c r="G14" s="402">
        <f>'приложение 1'!H11</f>
        <v>100</v>
      </c>
      <c r="H14" s="128">
        <v>548.12</v>
      </c>
      <c r="I14" s="114">
        <f>G14*H14</f>
        <v>54812</v>
      </c>
      <c r="J14" s="66">
        <v>5609</v>
      </c>
      <c r="K14" s="66">
        <v>5609</v>
      </c>
      <c r="L14" s="66">
        <v>5609</v>
      </c>
      <c r="M14" s="66">
        <v>5609</v>
      </c>
      <c r="N14" s="420">
        <f t="shared" si="1"/>
        <v>22436</v>
      </c>
      <c r="O14" s="132">
        <f>G14+N14</f>
        <v>22536</v>
      </c>
      <c r="P14" s="88"/>
      <c r="Q14" s="46"/>
      <c r="R14" s="27"/>
      <c r="S14" s="46"/>
      <c r="T14" s="46"/>
      <c r="U14" s="46"/>
      <c r="V14" s="46"/>
      <c r="AB14" s="47"/>
    </row>
    <row r="15" spans="1:28" ht="33" customHeight="1">
      <c r="A15" s="80" t="s">
        <v>234</v>
      </c>
      <c r="B15" s="91" t="s">
        <v>233</v>
      </c>
      <c r="C15" s="91" t="s">
        <v>233</v>
      </c>
      <c r="D15" s="91" t="s">
        <v>233</v>
      </c>
      <c r="E15" s="91" t="s">
        <v>233</v>
      </c>
      <c r="F15" s="97">
        <f t="shared" si="0"/>
        <v>1400</v>
      </c>
      <c r="G15" s="402">
        <f>'приложение 1'!I11</f>
        <v>1060</v>
      </c>
      <c r="H15" s="128">
        <v>1199.64</v>
      </c>
      <c r="I15" s="114">
        <f>G15*H15</f>
        <v>1271618.4000000001</v>
      </c>
      <c r="J15" s="66">
        <v>19655</v>
      </c>
      <c r="K15" s="66">
        <v>19655</v>
      </c>
      <c r="L15" s="66">
        <v>19655</v>
      </c>
      <c r="M15" s="66">
        <v>19656</v>
      </c>
      <c r="N15" s="420">
        <f t="shared" si="1"/>
        <v>78621</v>
      </c>
      <c r="O15" s="132">
        <f>G15+N15</f>
        <v>79681</v>
      </c>
      <c r="P15" s="88"/>
      <c r="Q15" s="46"/>
      <c r="R15" s="27"/>
      <c r="S15" s="46"/>
      <c r="T15" s="46"/>
      <c r="U15" s="46"/>
      <c r="V15" s="46"/>
      <c r="AB15" s="47"/>
    </row>
    <row r="16" spans="1:28" ht="41.25" customHeight="1">
      <c r="A16" s="82" t="s">
        <v>84</v>
      </c>
      <c r="B16" s="92"/>
      <c r="C16" s="92"/>
      <c r="D16" s="92"/>
      <c r="E16" s="92"/>
      <c r="F16" s="97">
        <f t="shared" si="0"/>
        <v>0</v>
      </c>
      <c r="G16" s="402"/>
      <c r="H16" s="128"/>
      <c r="I16" s="114"/>
      <c r="J16" s="66"/>
      <c r="K16" s="66"/>
      <c r="L16" s="66"/>
      <c r="M16" s="130"/>
      <c r="N16" s="420"/>
      <c r="O16" s="134"/>
      <c r="P16" s="88"/>
      <c r="Q16" s="46"/>
      <c r="R16" s="27"/>
      <c r="S16" s="46"/>
      <c r="T16" s="46"/>
      <c r="U16" s="46"/>
      <c r="V16" s="46"/>
      <c r="AB16" s="47"/>
    </row>
    <row r="17" spans="1:22" ht="39.75" customHeight="1">
      <c r="A17" s="84" t="s">
        <v>225</v>
      </c>
      <c r="B17" s="93">
        <v>105</v>
      </c>
      <c r="C17" s="93">
        <v>105</v>
      </c>
      <c r="D17" s="93">
        <v>105</v>
      </c>
      <c r="E17" s="93">
        <v>106</v>
      </c>
      <c r="F17" s="97">
        <f t="shared" si="0"/>
        <v>421</v>
      </c>
      <c r="G17" s="402">
        <f>'приложение 1'!J11</f>
        <v>692</v>
      </c>
      <c r="H17" s="128">
        <v>27234.05</v>
      </c>
      <c r="I17" s="114">
        <f>G17*H17</f>
        <v>18845962.599999998</v>
      </c>
      <c r="J17" s="66">
        <v>1561</v>
      </c>
      <c r="K17" s="66">
        <v>1561</v>
      </c>
      <c r="L17" s="66">
        <v>1561</v>
      </c>
      <c r="M17" s="66">
        <v>1561</v>
      </c>
      <c r="N17" s="420">
        <f t="shared" si="1"/>
        <v>6244</v>
      </c>
      <c r="O17" s="132">
        <f>G17+N17</f>
        <v>6936</v>
      </c>
      <c r="P17" s="88"/>
      <c r="Q17" s="46"/>
      <c r="R17" s="46"/>
      <c r="S17" s="46"/>
      <c r="T17" s="46"/>
      <c r="U17" s="46"/>
      <c r="V17" s="46"/>
    </row>
    <row r="18" spans="1:22" ht="21.75" customHeight="1">
      <c r="A18" s="78" t="s">
        <v>116</v>
      </c>
      <c r="B18" s="94"/>
      <c r="C18" s="94"/>
      <c r="D18" s="94"/>
      <c r="E18" s="94"/>
      <c r="F18" s="97"/>
      <c r="G18" s="402"/>
      <c r="H18" s="128"/>
      <c r="I18" s="114"/>
      <c r="J18" s="66"/>
      <c r="K18" s="66"/>
      <c r="L18" s="66"/>
      <c r="M18" s="130"/>
      <c r="N18" s="420"/>
      <c r="O18" s="134"/>
      <c r="P18" s="88"/>
      <c r="Q18" s="46"/>
      <c r="R18" s="46"/>
      <c r="S18" s="46"/>
      <c r="T18" s="46"/>
      <c r="U18" s="46"/>
      <c r="V18" s="46"/>
    </row>
    <row r="19" spans="1:22" ht="29.25" customHeight="1" thickBot="1">
      <c r="A19" s="83" t="s">
        <v>230</v>
      </c>
      <c r="B19" s="107">
        <v>6</v>
      </c>
      <c r="C19" s="108">
        <v>7</v>
      </c>
      <c r="D19" s="108">
        <v>7</v>
      </c>
      <c r="E19" s="108">
        <v>7</v>
      </c>
      <c r="F19" s="109">
        <f t="shared" si="0"/>
        <v>27</v>
      </c>
      <c r="G19" s="403">
        <f>'приложение 1'!M11</f>
        <v>40</v>
      </c>
      <c r="H19" s="129">
        <v>13643.83</v>
      </c>
      <c r="I19" s="116">
        <f>G19*H19</f>
        <v>545753.2</v>
      </c>
      <c r="J19" s="115">
        <v>594</v>
      </c>
      <c r="K19" s="115">
        <v>594</v>
      </c>
      <c r="L19" s="115">
        <v>593</v>
      </c>
      <c r="M19" s="115">
        <v>594</v>
      </c>
      <c r="N19" s="421">
        <f t="shared" si="1"/>
        <v>2375</v>
      </c>
      <c r="O19" s="133">
        <f>G19+N19</f>
        <v>2415</v>
      </c>
      <c r="P19" s="88"/>
      <c r="Q19" s="46"/>
      <c r="R19" s="46"/>
      <c r="S19" s="46"/>
      <c r="T19" s="46"/>
      <c r="U19" s="46"/>
      <c r="V19" s="46"/>
    </row>
    <row r="20" spans="1:22" ht="32.25" customHeight="1" hidden="1" thickBot="1">
      <c r="A20" s="103" t="s">
        <v>221</v>
      </c>
      <c r="B20" s="95"/>
      <c r="C20" s="95"/>
      <c r="D20" s="95"/>
      <c r="E20" s="95"/>
      <c r="F20" s="104"/>
      <c r="G20" s="105"/>
      <c r="H20" s="106">
        <v>12000000</v>
      </c>
      <c r="I20" s="117">
        <f>SUM(I8:I19)</f>
        <v>22284193.4</v>
      </c>
      <c r="J20" s="105"/>
      <c r="K20" s="105"/>
      <c r="L20" s="105"/>
      <c r="M20" s="105"/>
      <c r="N20" s="106"/>
      <c r="O20" s="105"/>
      <c r="P20" s="88"/>
      <c r="Q20" s="46"/>
      <c r="R20" s="46"/>
      <c r="S20" s="46"/>
      <c r="T20" s="46"/>
      <c r="U20" s="46"/>
      <c r="V20" s="46"/>
    </row>
    <row r="21" spans="1:22" ht="20.25" customHeight="1">
      <c r="A21" s="68"/>
      <c r="B21" s="68"/>
      <c r="C21" s="68"/>
      <c r="D21" s="68"/>
      <c r="E21" s="68"/>
      <c r="F21" s="69"/>
      <c r="G21" s="70"/>
      <c r="H21" s="71"/>
      <c r="I21" s="118">
        <f>H20-I20</f>
        <v>-10284193.399999999</v>
      </c>
      <c r="J21" s="70"/>
      <c r="K21" s="70"/>
      <c r="L21" s="70"/>
      <c r="M21" s="70"/>
      <c r="N21" s="123"/>
      <c r="O21" s="70"/>
      <c r="P21" s="88"/>
      <c r="Q21" s="46"/>
      <c r="R21" s="46"/>
      <c r="S21" s="46"/>
      <c r="T21" s="46"/>
      <c r="U21" s="46"/>
      <c r="V21" s="46"/>
    </row>
    <row r="22" spans="1:22" ht="20.25" customHeight="1">
      <c r="A22" s="68"/>
      <c r="B22" s="68"/>
      <c r="C22" s="68"/>
      <c r="D22" s="68"/>
      <c r="E22" s="68"/>
      <c r="F22" s="69"/>
      <c r="G22" s="70"/>
      <c r="H22" s="71"/>
      <c r="I22" s="119"/>
      <c r="J22" s="70"/>
      <c r="K22" s="70"/>
      <c r="L22" s="70"/>
      <c r="M22" s="70"/>
      <c r="N22" s="123"/>
      <c r="O22" s="70"/>
      <c r="P22" s="88"/>
      <c r="Q22" s="46"/>
      <c r="R22" s="46"/>
      <c r="S22" s="46"/>
      <c r="T22" s="46"/>
      <c r="U22" s="46"/>
      <c r="V22" s="46"/>
    </row>
    <row r="23" spans="1:22" ht="20.25" customHeight="1">
      <c r="A23" s="68"/>
      <c r="B23" s="68"/>
      <c r="C23" s="68"/>
      <c r="D23" s="68"/>
      <c r="E23" s="68"/>
      <c r="F23" s="69"/>
      <c r="G23" s="70"/>
      <c r="H23" s="71"/>
      <c r="I23" s="119"/>
      <c r="J23" s="70"/>
      <c r="K23" s="70"/>
      <c r="L23" s="70"/>
      <c r="M23" s="70"/>
      <c r="N23" s="123"/>
      <c r="O23" s="70"/>
      <c r="P23" s="88"/>
      <c r="Q23" s="46"/>
      <c r="R23" s="46"/>
      <c r="S23" s="46"/>
      <c r="T23" s="46"/>
      <c r="U23" s="46"/>
      <c r="V23" s="46"/>
    </row>
    <row r="24" spans="1:22" ht="20.25" customHeight="1">
      <c r="A24" s="21"/>
      <c r="B24" s="21"/>
      <c r="C24" s="21"/>
      <c r="D24" s="21"/>
      <c r="E24" s="21"/>
      <c r="F24" s="59"/>
      <c r="G24" s="58"/>
      <c r="H24" s="60"/>
      <c r="I24" s="120"/>
      <c r="J24" s="58"/>
      <c r="K24" s="58"/>
      <c r="L24" s="58"/>
      <c r="M24" s="58"/>
      <c r="N24" s="124"/>
      <c r="O24" s="58"/>
      <c r="P24" s="88"/>
      <c r="Q24" s="46"/>
      <c r="R24" s="46"/>
      <c r="S24" s="46"/>
      <c r="T24" s="46"/>
      <c r="U24" s="46"/>
      <c r="V24" s="46"/>
    </row>
    <row r="25" spans="1:22" ht="20.25" customHeight="1">
      <c r="A25" s="21"/>
      <c r="B25" s="21"/>
      <c r="C25" s="21"/>
      <c r="D25" s="21"/>
      <c r="E25" s="21"/>
      <c r="F25" s="59"/>
      <c r="G25" s="58"/>
      <c r="H25" s="60"/>
      <c r="I25" s="120"/>
      <c r="J25" s="58"/>
      <c r="K25" s="58"/>
      <c r="L25" s="58"/>
      <c r="M25" s="58"/>
      <c r="N25" s="124"/>
      <c r="O25" s="58"/>
      <c r="P25" s="88"/>
      <c r="Q25" s="46"/>
      <c r="R25" s="46"/>
      <c r="S25" s="46"/>
      <c r="T25" s="46"/>
      <c r="U25" s="46"/>
      <c r="V25" s="46"/>
    </row>
    <row r="26" spans="1:22" ht="20.25" customHeight="1">
      <c r="A26" s="21"/>
      <c r="B26" s="21"/>
      <c r="C26" s="21"/>
      <c r="D26" s="21"/>
      <c r="E26" s="21"/>
      <c r="F26" s="59"/>
      <c r="G26" s="58"/>
      <c r="H26" s="60"/>
      <c r="I26" s="120"/>
      <c r="J26" s="58"/>
      <c r="K26" s="58"/>
      <c r="L26" s="58"/>
      <c r="M26" s="58"/>
      <c r="N26" s="124"/>
      <c r="O26" s="58"/>
      <c r="P26" s="88"/>
      <c r="Q26" s="46"/>
      <c r="R26" s="46"/>
      <c r="S26" s="46"/>
      <c r="T26" s="46"/>
      <c r="U26" s="46"/>
      <c r="V26" s="46"/>
    </row>
    <row r="27" spans="1:22" ht="20.25" customHeight="1">
      <c r="A27" s="21"/>
      <c r="B27" s="21"/>
      <c r="C27" s="21"/>
      <c r="D27" s="21"/>
      <c r="E27" s="21"/>
      <c r="F27" s="59"/>
      <c r="G27" s="58"/>
      <c r="H27" s="60"/>
      <c r="I27" s="120"/>
      <c r="J27" s="58"/>
      <c r="K27" s="58"/>
      <c r="L27" s="58"/>
      <c r="M27" s="58"/>
      <c r="N27" s="124"/>
      <c r="O27" s="58"/>
      <c r="P27" s="88"/>
      <c r="Q27" s="46"/>
      <c r="R27" s="46"/>
      <c r="S27" s="46"/>
      <c r="T27" s="46"/>
      <c r="U27" s="46"/>
      <c r="V27" s="46"/>
    </row>
    <row r="28" spans="1:22" ht="20.25" customHeight="1">
      <c r="A28" s="21"/>
      <c r="B28" s="21"/>
      <c r="C28" s="21"/>
      <c r="D28" s="21"/>
      <c r="E28" s="21"/>
      <c r="F28" s="59"/>
      <c r="G28" s="58"/>
      <c r="H28" s="60"/>
      <c r="I28" s="120"/>
      <c r="J28" s="58"/>
      <c r="K28" s="58"/>
      <c r="L28" s="58"/>
      <c r="M28" s="58"/>
      <c r="N28" s="124"/>
      <c r="O28" s="58"/>
      <c r="P28" s="88"/>
      <c r="Q28" s="46"/>
      <c r="R28" s="46"/>
      <c r="S28" s="46"/>
      <c r="T28" s="46"/>
      <c r="U28" s="46"/>
      <c r="V28" s="46"/>
    </row>
    <row r="29" spans="1:22" ht="20.25" customHeight="1">
      <c r="A29" s="21"/>
      <c r="B29" s="21"/>
      <c r="C29" s="21"/>
      <c r="D29" s="21"/>
      <c r="E29" s="21"/>
      <c r="F29" s="59"/>
      <c r="G29" s="58"/>
      <c r="H29" s="60"/>
      <c r="I29" s="120"/>
      <c r="J29" s="58"/>
      <c r="K29" s="58"/>
      <c r="L29" s="58"/>
      <c r="M29" s="58"/>
      <c r="N29" s="124"/>
      <c r="O29" s="58"/>
      <c r="P29" s="88"/>
      <c r="Q29" s="46"/>
      <c r="R29" s="46"/>
      <c r="S29" s="46"/>
      <c r="T29" s="46"/>
      <c r="U29" s="46"/>
      <c r="V29" s="46"/>
    </row>
  </sheetData>
  <sheetProtection/>
  <mergeCells count="11">
    <mergeCell ref="O5:O7"/>
    <mergeCell ref="G5:G7"/>
    <mergeCell ref="J6:M6"/>
    <mergeCell ref="N6:N7"/>
    <mergeCell ref="A3:O3"/>
    <mergeCell ref="A5:A7"/>
    <mergeCell ref="B5:F5"/>
    <mergeCell ref="J5:N5"/>
    <mergeCell ref="L1:N1"/>
    <mergeCell ref="B6:E6"/>
    <mergeCell ref="F6:F7"/>
  </mergeCells>
  <printOptions/>
  <pageMargins left="0.34" right="0.17" top="0.3" bottom="0.4" header="0.31496062992125984" footer="0.31496062992125984"/>
  <pageSetup fitToHeight="4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85"/>
  <sheetViews>
    <sheetView view="pageBreakPreview" zoomScaleSheetLayoutView="100" zoomScalePageLayoutView="0" workbookViewId="0" topLeftCell="A1">
      <selection activeCell="C1" sqref="C1:D1"/>
    </sheetView>
  </sheetViews>
  <sheetFormatPr defaultColWidth="9.140625" defaultRowHeight="15"/>
  <cols>
    <col min="1" max="1" width="5.7109375" style="0" customWidth="1"/>
    <col min="2" max="2" width="51.28125" style="0" customWidth="1"/>
    <col min="3" max="3" width="60.140625" style="0" customWidth="1"/>
    <col min="4" max="6" width="8.8515625" style="0" customWidth="1"/>
    <col min="7" max="7" width="7.57421875" style="201" hidden="1" customWidth="1"/>
    <col min="8" max="8" width="7.8515625" style="201" hidden="1" customWidth="1"/>
    <col min="9" max="9" width="8.7109375" style="201" hidden="1" customWidth="1"/>
    <col min="10" max="10" width="8.140625" style="201" hidden="1" customWidth="1"/>
    <col min="11" max="11" width="7.421875" style="201" hidden="1" customWidth="1"/>
    <col min="12" max="12" width="6.8515625" style="201" hidden="1" customWidth="1"/>
    <col min="13" max="13" width="6.7109375" style="201" hidden="1" customWidth="1"/>
    <col min="14" max="14" width="15.140625" style="20" customWidth="1"/>
    <col min="15" max="15" width="16.28125" style="20" customWidth="1"/>
    <col min="16" max="16" width="15.8515625" style="20" customWidth="1"/>
    <col min="17" max="16384" width="9.140625" style="20" customWidth="1"/>
  </cols>
  <sheetData>
    <row r="1" spans="3:6" ht="82.5" customHeight="1">
      <c r="C1" s="796" t="s">
        <v>290</v>
      </c>
      <c r="D1" s="796"/>
      <c r="E1" s="234"/>
      <c r="F1" s="234"/>
    </row>
    <row r="2" spans="3:6" ht="51" customHeight="1">
      <c r="C2" s="799"/>
      <c r="D2" s="799"/>
      <c r="E2" s="387"/>
      <c r="F2" s="387"/>
    </row>
    <row r="3" spans="1:13" ht="30" customHeight="1" thickBot="1">
      <c r="A3" s="804" t="s">
        <v>283</v>
      </c>
      <c r="B3" s="804"/>
      <c r="C3" s="80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ht="21.75" customHeight="1" thickBot="1">
      <c r="A4" s="413"/>
      <c r="B4" s="414"/>
      <c r="C4" s="415"/>
      <c r="D4" s="415"/>
      <c r="E4" s="415"/>
      <c r="F4" s="415"/>
      <c r="G4" s="416"/>
      <c r="H4" s="416"/>
      <c r="I4" s="416"/>
      <c r="J4" s="416"/>
      <c r="K4" s="416"/>
      <c r="L4" s="416"/>
      <c r="M4" s="416"/>
    </row>
    <row r="5" spans="1:13" ht="56.25" customHeight="1" thickBot="1">
      <c r="A5" s="415"/>
      <c r="B5" s="800"/>
      <c r="C5" s="802" t="s">
        <v>284</v>
      </c>
      <c r="D5" s="415"/>
      <c r="E5" s="415"/>
      <c r="F5" s="415"/>
      <c r="G5" s="241"/>
      <c r="H5" s="241"/>
      <c r="I5" s="241"/>
      <c r="J5" s="241"/>
      <c r="K5" s="798" t="s">
        <v>10</v>
      </c>
      <c r="L5" s="798"/>
      <c r="M5" s="798"/>
    </row>
    <row r="6" spans="1:13" ht="84" customHeight="1" thickBot="1">
      <c r="A6" s="415"/>
      <c r="B6" s="801"/>
      <c r="C6" s="803"/>
      <c r="D6" s="417"/>
      <c r="E6" s="418"/>
      <c r="F6" s="418"/>
      <c r="G6" s="418"/>
      <c r="H6" s="797" t="s">
        <v>11</v>
      </c>
      <c r="I6" s="797"/>
      <c r="J6" s="797"/>
      <c r="K6" s="798"/>
      <c r="L6" s="798"/>
      <c r="M6" s="798"/>
    </row>
    <row r="7" spans="1:13" ht="57" customHeight="1" thickBot="1">
      <c r="A7" s="415"/>
      <c r="B7" s="483" t="s">
        <v>285</v>
      </c>
      <c r="C7" s="527">
        <f>'приложение 1'!C10</f>
        <v>11897.19256</v>
      </c>
      <c r="D7" s="415"/>
      <c r="E7" s="415"/>
      <c r="F7" s="415"/>
      <c r="G7" s="419" t="s">
        <v>17</v>
      </c>
      <c r="H7" s="479"/>
      <c r="I7" s="243" t="s">
        <v>19</v>
      </c>
      <c r="J7" s="244" t="s">
        <v>17</v>
      </c>
      <c r="K7" s="479"/>
      <c r="L7" s="243" t="s">
        <v>18</v>
      </c>
      <c r="M7" s="244" t="s">
        <v>17</v>
      </c>
    </row>
    <row r="8" spans="2:13" ht="35.25" customHeight="1" thickBot="1">
      <c r="B8" s="481" t="s">
        <v>48</v>
      </c>
      <c r="C8" s="675">
        <f>'приложение 2'!G8</f>
        <v>176</v>
      </c>
      <c r="G8" s="205">
        <v>9</v>
      </c>
      <c r="H8" s="204">
        <v>10</v>
      </c>
      <c r="I8" s="204">
        <v>11</v>
      </c>
      <c r="J8" s="205">
        <v>12</v>
      </c>
      <c r="K8" s="203"/>
      <c r="L8" s="204"/>
      <c r="M8" s="206"/>
    </row>
    <row r="9" spans="2:13" ht="48" customHeight="1" thickBot="1">
      <c r="B9" s="388" t="s">
        <v>240</v>
      </c>
      <c r="C9" s="482">
        <f>C7+C8</f>
        <v>12073.19256</v>
      </c>
      <c r="G9" s="208">
        <f aca="true" t="shared" si="0" ref="G9:G25">D9/9*12</f>
        <v>0</v>
      </c>
      <c r="H9" s="209">
        <f aca="true" t="shared" si="1" ref="H9:H29">I9+J9</f>
        <v>795</v>
      </c>
      <c r="I9" s="207">
        <v>558</v>
      </c>
      <c r="J9" s="210">
        <v>237</v>
      </c>
      <c r="K9" s="211"/>
      <c r="L9" s="210"/>
      <c r="M9" s="210"/>
    </row>
    <row r="10" spans="1:13" ht="18.75" customHeight="1" hidden="1">
      <c r="A10" s="165"/>
      <c r="B10" s="478" t="s">
        <v>78</v>
      </c>
      <c r="C10" s="389"/>
      <c r="D10" s="383"/>
      <c r="E10" s="383"/>
      <c r="F10" s="383"/>
      <c r="G10" s="208">
        <f t="shared" si="0"/>
        <v>0</v>
      </c>
      <c r="H10" s="212">
        <f t="shared" si="1"/>
        <v>25434</v>
      </c>
      <c r="I10" s="213"/>
      <c r="J10" s="214">
        <v>25434</v>
      </c>
      <c r="K10" s="215"/>
      <c r="L10" s="214"/>
      <c r="M10" s="214"/>
    </row>
    <row r="11" spans="2:13" ht="17.25">
      <c r="B11" s="390"/>
      <c r="C11" s="165"/>
      <c r="G11" s="208">
        <f t="shared" si="0"/>
        <v>0</v>
      </c>
      <c r="H11" s="212">
        <f t="shared" si="1"/>
        <v>7471</v>
      </c>
      <c r="I11" s="213">
        <v>7471</v>
      </c>
      <c r="J11" s="214"/>
      <c r="K11" s="215"/>
      <c r="L11" s="214"/>
      <c r="M11" s="214"/>
    </row>
    <row r="12" spans="7:13" ht="14.25">
      <c r="G12" s="208">
        <f t="shared" si="0"/>
        <v>0</v>
      </c>
      <c r="H12" s="212">
        <f t="shared" si="1"/>
        <v>902</v>
      </c>
      <c r="I12" s="213">
        <v>853</v>
      </c>
      <c r="J12" s="214">
        <v>49</v>
      </c>
      <c r="K12" s="215"/>
      <c r="L12" s="214"/>
      <c r="M12" s="214"/>
    </row>
    <row r="13" spans="7:13" ht="14.25">
      <c r="G13" s="208">
        <f t="shared" si="0"/>
        <v>0</v>
      </c>
      <c r="H13" s="212">
        <f t="shared" si="1"/>
        <v>38</v>
      </c>
      <c r="I13" s="213">
        <v>21</v>
      </c>
      <c r="J13" s="214">
        <v>17</v>
      </c>
      <c r="K13" s="215"/>
      <c r="L13" s="214"/>
      <c r="M13" s="214"/>
    </row>
    <row r="14" spans="7:13" ht="14.25">
      <c r="G14" s="208">
        <f t="shared" si="0"/>
        <v>0</v>
      </c>
      <c r="H14" s="212">
        <f t="shared" si="1"/>
        <v>0</v>
      </c>
      <c r="I14" s="213"/>
      <c r="J14" s="214"/>
      <c r="K14" s="215"/>
      <c r="L14" s="214"/>
      <c r="M14" s="214"/>
    </row>
    <row r="15" spans="7:13" ht="14.25">
      <c r="G15" s="208">
        <f t="shared" si="0"/>
        <v>0</v>
      </c>
      <c r="H15" s="212">
        <f t="shared" si="1"/>
        <v>1150</v>
      </c>
      <c r="I15" s="213">
        <v>863</v>
      </c>
      <c r="J15" s="214">
        <v>287</v>
      </c>
      <c r="K15" s="215"/>
      <c r="L15" s="214"/>
      <c r="M15" s="214"/>
    </row>
    <row r="16" spans="7:13" ht="14.25">
      <c r="G16" s="208">
        <f t="shared" si="0"/>
        <v>0</v>
      </c>
      <c r="H16" s="212">
        <f t="shared" si="1"/>
        <v>205</v>
      </c>
      <c r="I16" s="213">
        <v>58</v>
      </c>
      <c r="J16" s="214">
        <v>147</v>
      </c>
      <c r="K16" s="215"/>
      <c r="L16" s="214"/>
      <c r="M16" s="214"/>
    </row>
    <row r="17" spans="7:13" ht="14.25">
      <c r="G17" s="208">
        <f t="shared" si="0"/>
        <v>0</v>
      </c>
      <c r="H17" s="212">
        <f t="shared" si="1"/>
        <v>3747</v>
      </c>
      <c r="I17" s="213">
        <v>1158</v>
      </c>
      <c r="J17" s="214">
        <v>2589</v>
      </c>
      <c r="K17" s="215"/>
      <c r="L17" s="214"/>
      <c r="M17" s="214"/>
    </row>
    <row r="18" spans="7:13" ht="14.25">
      <c r="G18" s="208">
        <f t="shared" si="0"/>
        <v>0</v>
      </c>
      <c r="H18" s="212">
        <f t="shared" si="1"/>
        <v>836</v>
      </c>
      <c r="I18" s="213"/>
      <c r="J18" s="214">
        <v>836</v>
      </c>
      <c r="K18" s="215"/>
      <c r="L18" s="214"/>
      <c r="M18" s="214"/>
    </row>
    <row r="19" spans="7:13" ht="14.25">
      <c r="G19" s="208">
        <f t="shared" si="0"/>
        <v>0</v>
      </c>
      <c r="H19" s="212">
        <f t="shared" si="1"/>
        <v>0</v>
      </c>
      <c r="I19" s="213"/>
      <c r="J19" s="214"/>
      <c r="K19" s="215"/>
      <c r="L19" s="214"/>
      <c r="M19" s="214"/>
    </row>
    <row r="20" spans="7:13" ht="14.25">
      <c r="G20" s="208">
        <f t="shared" si="0"/>
        <v>0</v>
      </c>
      <c r="H20" s="212">
        <f t="shared" si="1"/>
        <v>0</v>
      </c>
      <c r="I20" s="213"/>
      <c r="J20" s="214"/>
      <c r="K20" s="215"/>
      <c r="L20" s="214"/>
      <c r="M20" s="214"/>
    </row>
    <row r="21" spans="7:13" ht="14.25">
      <c r="G21" s="208">
        <f t="shared" si="0"/>
        <v>0</v>
      </c>
      <c r="H21" s="212">
        <f t="shared" si="1"/>
        <v>8047</v>
      </c>
      <c r="I21" s="213">
        <v>2158</v>
      </c>
      <c r="J21" s="214">
        <v>5889</v>
      </c>
      <c r="K21" s="215"/>
      <c r="L21" s="214"/>
      <c r="M21" s="214"/>
    </row>
    <row r="22" spans="7:13" ht="14.25">
      <c r="G22" s="208">
        <f t="shared" si="0"/>
        <v>0</v>
      </c>
      <c r="H22" s="212">
        <f t="shared" si="1"/>
        <v>9993</v>
      </c>
      <c r="I22" s="213">
        <v>9944</v>
      </c>
      <c r="J22" s="214">
        <v>49</v>
      </c>
      <c r="K22" s="215"/>
      <c r="L22" s="214"/>
      <c r="M22" s="214"/>
    </row>
    <row r="23" spans="7:13" ht="14.25">
      <c r="G23" s="208">
        <f t="shared" si="0"/>
        <v>0</v>
      </c>
      <c r="H23" s="212">
        <f t="shared" si="1"/>
        <v>3044</v>
      </c>
      <c r="I23" s="213">
        <v>1610</v>
      </c>
      <c r="J23" s="214">
        <v>1434</v>
      </c>
      <c r="K23" s="215"/>
      <c r="L23" s="214"/>
      <c r="M23" s="214"/>
    </row>
    <row r="24" spans="7:13" ht="14.25">
      <c r="G24" s="208">
        <f t="shared" si="0"/>
        <v>0</v>
      </c>
      <c r="H24" s="212">
        <f t="shared" si="1"/>
        <v>3271</v>
      </c>
      <c r="I24" s="213">
        <v>2083</v>
      </c>
      <c r="J24" s="214">
        <v>1188</v>
      </c>
      <c r="K24" s="215"/>
      <c r="L24" s="214"/>
      <c r="M24" s="214"/>
    </row>
    <row r="25" spans="7:13" ht="14.25">
      <c r="G25" s="216">
        <f t="shared" si="0"/>
        <v>0</v>
      </c>
      <c r="H25" s="212">
        <f t="shared" si="1"/>
        <v>2894</v>
      </c>
      <c r="I25" s="213">
        <v>2189</v>
      </c>
      <c r="J25" s="214">
        <v>705</v>
      </c>
      <c r="K25" s="215"/>
      <c r="L25" s="214"/>
      <c r="M25" s="214"/>
    </row>
    <row r="26" spans="7:13" ht="14.25">
      <c r="G26" s="217"/>
      <c r="H26" s="212">
        <f t="shared" si="1"/>
        <v>5337</v>
      </c>
      <c r="I26" s="213">
        <v>2052</v>
      </c>
      <c r="J26" s="214">
        <v>3285</v>
      </c>
      <c r="K26" s="215"/>
      <c r="L26" s="214"/>
      <c r="M26" s="214"/>
    </row>
    <row r="27" spans="7:13" ht="14.25">
      <c r="G27" s="217"/>
      <c r="H27" s="212">
        <f t="shared" si="1"/>
        <v>11386</v>
      </c>
      <c r="I27" s="213">
        <v>5357</v>
      </c>
      <c r="J27" s="214">
        <v>6029</v>
      </c>
      <c r="K27" s="215"/>
      <c r="L27" s="214"/>
      <c r="M27" s="214"/>
    </row>
    <row r="28" spans="7:13" ht="15" thickBot="1">
      <c r="G28" s="219"/>
      <c r="H28" s="220">
        <f t="shared" si="1"/>
        <v>32178</v>
      </c>
      <c r="I28" s="218">
        <v>15140</v>
      </c>
      <c r="J28" s="221">
        <v>17038</v>
      </c>
      <c r="K28" s="222"/>
      <c r="L28" s="221"/>
      <c r="M28" s="221"/>
    </row>
    <row r="29" spans="7:16" ht="15" thickBot="1">
      <c r="G29" s="225">
        <f>SUM(G10:G25)</f>
        <v>0</v>
      </c>
      <c r="H29" s="226">
        <f t="shared" si="1"/>
        <v>116728</v>
      </c>
      <c r="I29" s="224">
        <f>SUM(I9:I28)</f>
        <v>51515</v>
      </c>
      <c r="J29" s="227">
        <f>SUM(J9:J28)</f>
        <v>65213</v>
      </c>
      <c r="K29" s="223">
        <v>2765</v>
      </c>
      <c r="L29" s="224"/>
      <c r="M29" s="227"/>
      <c r="N29" s="27"/>
      <c r="O29" s="27"/>
      <c r="P29" s="27"/>
    </row>
    <row r="30" spans="7:16" ht="14.25">
      <c r="G30" s="228"/>
      <c r="H30" s="228"/>
      <c r="I30" s="228"/>
      <c r="J30" s="228"/>
      <c r="K30" s="228"/>
      <c r="L30" s="228"/>
      <c r="M30" s="228"/>
      <c r="N30" s="27"/>
      <c r="O30" s="27"/>
      <c r="P30" s="27"/>
    </row>
    <row r="31" spans="7:16" ht="15" thickBot="1">
      <c r="G31" s="229"/>
      <c r="H31" s="229"/>
      <c r="I31" s="229"/>
      <c r="J31" s="229"/>
      <c r="K31" s="229"/>
      <c r="L31" s="229"/>
      <c r="M31" s="229"/>
      <c r="N31" s="27"/>
      <c r="O31" s="27"/>
      <c r="P31" s="27"/>
    </row>
    <row r="32" spans="7:16" ht="14.25">
      <c r="G32" s="234"/>
      <c r="H32" s="234"/>
      <c r="I32" s="234"/>
      <c r="J32" s="234"/>
      <c r="K32" s="234"/>
      <c r="L32" s="234"/>
      <c r="M32" s="234"/>
      <c r="N32" s="27"/>
      <c r="O32" s="27"/>
      <c r="P32" s="27"/>
    </row>
    <row r="33" spans="7:16" ht="14.25">
      <c r="G33" s="235"/>
      <c r="H33" s="235"/>
      <c r="I33" s="235"/>
      <c r="J33" s="235"/>
      <c r="K33" s="235"/>
      <c r="L33" s="235"/>
      <c r="M33" s="235"/>
      <c r="N33" s="27"/>
      <c r="O33" s="27"/>
      <c r="P33" s="27"/>
    </row>
    <row r="34" spans="7:16" ht="14.25">
      <c r="G34" s="236"/>
      <c r="H34" s="236"/>
      <c r="I34" s="236"/>
      <c r="J34" s="236"/>
      <c r="K34" s="236"/>
      <c r="L34" s="236"/>
      <c r="M34" s="236"/>
      <c r="N34" s="27"/>
      <c r="O34" s="27"/>
      <c r="P34" s="27"/>
    </row>
    <row r="35" spans="7:16" ht="14.25">
      <c r="G35" s="235"/>
      <c r="H35" s="235"/>
      <c r="I35" s="235"/>
      <c r="J35" s="235"/>
      <c r="K35" s="235"/>
      <c r="L35" s="235"/>
      <c r="M35" s="235"/>
      <c r="N35" s="27"/>
      <c r="O35" s="27"/>
      <c r="P35" s="27"/>
    </row>
    <row r="36" spans="7:16" ht="14.25">
      <c r="G36" s="238"/>
      <c r="H36" s="238"/>
      <c r="I36" s="238"/>
      <c r="J36" s="238"/>
      <c r="K36" s="238"/>
      <c r="L36" s="238"/>
      <c r="M36" s="238"/>
      <c r="N36" s="27"/>
      <c r="O36" s="27"/>
      <c r="P36" s="27"/>
    </row>
    <row r="37" spans="14:16" ht="14.25">
      <c r="N37" s="27"/>
      <c r="O37" s="27"/>
      <c r="P37" s="27"/>
    </row>
    <row r="38" ht="14.25">
      <c r="O38" s="27"/>
    </row>
    <row r="39" ht="14.25">
      <c r="O39" s="27"/>
    </row>
    <row r="40" ht="14.25">
      <c r="O40" s="27"/>
    </row>
    <row r="41" ht="14.25">
      <c r="O41" s="27"/>
    </row>
    <row r="42" ht="14.25">
      <c r="O42" s="27"/>
    </row>
    <row r="43" ht="14.25">
      <c r="O43" s="27"/>
    </row>
    <row r="44" ht="14.25">
      <c r="O44" s="27"/>
    </row>
    <row r="45" ht="14.25">
      <c r="O45" s="27"/>
    </row>
    <row r="46" ht="14.25">
      <c r="O46" s="27"/>
    </row>
    <row r="47" ht="14.25">
      <c r="O47" s="27"/>
    </row>
    <row r="48" ht="14.25">
      <c r="O48" s="27"/>
    </row>
    <row r="49" ht="14.25">
      <c r="O49" s="27"/>
    </row>
    <row r="50" ht="14.25">
      <c r="O50" s="27"/>
    </row>
    <row r="51" ht="14.25">
      <c r="O51" s="27"/>
    </row>
    <row r="52" ht="14.25">
      <c r="O52" s="27"/>
    </row>
    <row r="53" ht="14.25">
      <c r="O53" s="27"/>
    </row>
    <row r="57" ht="15" customHeight="1" hidden="1"/>
    <row r="58" ht="15.75" customHeight="1" hidden="1" thickBot="1"/>
    <row r="59" ht="15" customHeight="1" hidden="1"/>
    <row r="60" ht="65.25" customHeight="1" hidden="1"/>
    <row r="61" ht="15" customHeight="1" hidden="1" thickBot="1"/>
    <row r="62" ht="15.75" customHeight="1" hidden="1" thickBo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>
      <c r="O69" s="27"/>
    </row>
    <row r="70" ht="15" customHeight="1" hidden="1">
      <c r="O70" s="27"/>
    </row>
    <row r="71" ht="15" customHeight="1" hidden="1">
      <c r="O71" s="27"/>
    </row>
    <row r="72" ht="15" customHeight="1" hidden="1">
      <c r="O72" s="27"/>
    </row>
    <row r="73" ht="15" customHeight="1" hidden="1">
      <c r="O73" s="27"/>
    </row>
    <row r="74" ht="15" customHeight="1" hidden="1">
      <c r="O74" s="27"/>
    </row>
    <row r="75" ht="15" customHeight="1" hidden="1">
      <c r="O75" s="27"/>
    </row>
    <row r="76" ht="15" customHeight="1" hidden="1">
      <c r="O76" s="27"/>
    </row>
    <row r="77" ht="15" customHeight="1" hidden="1">
      <c r="O77" s="27"/>
    </row>
    <row r="78" ht="15" customHeight="1" hidden="1">
      <c r="O78" s="27"/>
    </row>
    <row r="79" ht="15" customHeight="1" hidden="1">
      <c r="O79" s="27"/>
    </row>
    <row r="80" ht="15" customHeight="1" hidden="1">
      <c r="O80" s="27"/>
    </row>
    <row r="81" ht="15" customHeight="1" hidden="1">
      <c r="O81" s="27"/>
    </row>
    <row r="82" ht="15" customHeight="1" hidden="1">
      <c r="O82" s="27"/>
    </row>
    <row r="83" ht="15" customHeight="1" hidden="1">
      <c r="O83" s="27"/>
    </row>
    <row r="84" ht="15.75" customHeight="1" hidden="1" thickBot="1">
      <c r="O84" s="27"/>
    </row>
    <row r="85" ht="15.75" customHeight="1" hidden="1" thickBot="1">
      <c r="O85" s="27"/>
    </row>
    <row r="86" ht="15" customHeight="1" hidden="1"/>
    <row r="87" ht="15" customHeight="1" hidden="1"/>
    <row r="88" ht="15" customHeight="1" hidden="1"/>
    <row r="89" ht="15.75" customHeight="1" hidden="1" thickBot="1"/>
    <row r="90" ht="15" customHeight="1" hidden="1"/>
    <row r="91" ht="65.25" customHeight="1" hidden="1"/>
    <row r="92" ht="15" customHeight="1" hidden="1" thickBot="1"/>
    <row r="93" ht="15.75" customHeight="1" hidden="1" thickBot="1"/>
    <row r="94" ht="15.75" customHeight="1" hidden="1" thickBot="1"/>
    <row r="95" ht="15.75" customHeight="1" hidden="1" thickBot="1"/>
    <row r="96" ht="15" customHeight="1" hidden="1"/>
    <row r="97" ht="15" customHeight="1" hidden="1"/>
    <row r="98" ht="15" customHeight="1" hidden="1"/>
    <row r="99" ht="15.75" customHeight="1" hidden="1" thickBot="1"/>
    <row r="100" ht="15" customHeight="1" hidden="1"/>
    <row r="101" ht="65.25" customHeight="1" hidden="1"/>
    <row r="102" ht="15" customHeight="1" hidden="1" thickBot="1"/>
    <row r="103" ht="15.75" customHeight="1" hidden="1" thickBot="1"/>
    <row r="104" ht="15.75" customHeight="1" hidden="1" thickBot="1"/>
    <row r="105" ht="15.75" customHeight="1" hidden="1" thickBot="1"/>
    <row r="106" ht="15" customHeight="1" hidden="1"/>
    <row r="107" ht="15" customHeight="1" hidden="1"/>
    <row r="108" ht="15" customHeight="1" hidden="1"/>
    <row r="109" ht="15.75" customHeight="1" hidden="1" thickBot="1"/>
    <row r="110" ht="15" customHeight="1" hidden="1"/>
    <row r="111" ht="65.25" customHeight="1" hidden="1"/>
    <row r="112" ht="15" customHeight="1" hidden="1" thickBot="1"/>
    <row r="113" ht="15.75" customHeight="1" hidden="1" thickBot="1"/>
    <row r="114" ht="15.75" customHeight="1" hidden="1" thickBot="1"/>
    <row r="115" ht="15.75" customHeight="1" hidden="1" thickBot="1"/>
    <row r="116" ht="15" customHeight="1" hidden="1"/>
    <row r="117" ht="15" customHeight="1" hidden="1"/>
    <row r="118" ht="15.75" customHeight="1" hidden="1" thickBot="1"/>
    <row r="119" ht="15" customHeight="1" hidden="1"/>
    <row r="120" ht="65.25" customHeight="1" hidden="1"/>
    <row r="121" ht="15" customHeight="1" hidden="1" thickBot="1"/>
    <row r="122" ht="15.75" customHeight="1" hidden="1" thickBot="1"/>
    <row r="123" ht="15" customHeight="1" hidden="1"/>
    <row r="124" ht="15" customHeight="1" hidden="1"/>
    <row r="125" ht="15" customHeight="1" hidden="1"/>
    <row r="126" ht="15" customHeight="1" hidden="1"/>
    <row r="127" ht="15.75" customHeight="1" hidden="1" thickBot="1"/>
    <row r="128" ht="15.75" customHeight="1" hidden="1" thickBot="1"/>
    <row r="129" ht="15" customHeight="1" hidden="1"/>
    <row r="130" ht="15" customHeight="1" hidden="1"/>
    <row r="131" ht="15.75" customHeight="1" hidden="1" thickBot="1"/>
    <row r="132" ht="15" customHeight="1" hidden="1"/>
    <row r="133" ht="65.25" customHeight="1" hidden="1"/>
    <row r="134" ht="15" customHeight="1" hidden="1" thickBot="1"/>
    <row r="135" ht="15.75" customHeight="1" hidden="1" thickBot="1"/>
    <row r="136" ht="15.75" customHeight="1" hidden="1" thickBot="1"/>
    <row r="137" ht="15.75" customHeight="1" hidden="1" thickBot="1"/>
    <row r="138" ht="15" customHeight="1" hidden="1"/>
    <row r="139" ht="15" customHeight="1" hidden="1"/>
    <row r="140" ht="15.75" customHeight="1" hidden="1" thickBot="1"/>
    <row r="141" ht="15" customHeight="1" hidden="1"/>
    <row r="142" ht="65.25" customHeight="1" hidden="1"/>
    <row r="143" ht="15" customHeight="1" hidden="1" thickBot="1"/>
    <row r="144" ht="15.75" customHeight="1" hidden="1" thickBot="1"/>
    <row r="145" ht="15" customHeight="1" hidden="1"/>
    <row r="146" ht="15.75" customHeight="1" hidden="1" thickBot="1"/>
    <row r="147" ht="15.75" customHeight="1" hidden="1" thickBot="1"/>
    <row r="148" ht="15" customHeight="1" hidden="1"/>
  </sheetData>
  <sheetProtection/>
  <mergeCells count="7">
    <mergeCell ref="C1:D1"/>
    <mergeCell ref="H6:J6"/>
    <mergeCell ref="K5:M6"/>
    <mergeCell ref="C2:D2"/>
    <mergeCell ref="B5:B6"/>
    <mergeCell ref="C5:C6"/>
    <mergeCell ref="A3:C3"/>
  </mergeCells>
  <printOptions/>
  <pageMargins left="0.31496062992125984" right="0.2755905511811024" top="0.7480314960629921" bottom="0.7480314960629921" header="0.31496062992125984" footer="0.31496062992125984"/>
  <pageSetup fitToHeight="0" horizontalDpi="600" verticalDpi="600" orientation="landscape" paperSize="9" scale="95" r:id="rId1"/>
  <colBreaks count="1" manualBreakCount="1">
    <brk id="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76"/>
  <sheetViews>
    <sheetView view="pageBreakPreview" zoomScale="70" zoomScaleSheetLayoutView="70" zoomScalePageLayoutView="0" workbookViewId="0" topLeftCell="A10">
      <selection activeCell="G29" sqref="G29"/>
    </sheetView>
  </sheetViews>
  <sheetFormatPr defaultColWidth="9.140625" defaultRowHeight="15"/>
  <cols>
    <col min="1" max="1" width="41.00390625" style="199" customWidth="1"/>
    <col min="2" max="2" width="12.8515625" style="201" customWidth="1"/>
    <col min="3" max="3" width="12.140625" style="201" customWidth="1"/>
    <col min="4" max="4" width="11.7109375" style="201" customWidth="1"/>
    <col min="5" max="5" width="18.421875" style="201" customWidth="1"/>
    <col min="6" max="6" width="16.7109375" style="201" customWidth="1"/>
    <col min="7" max="7" width="20.28125" style="558" customWidth="1"/>
    <col min="8" max="8" width="19.421875" style="558" customWidth="1"/>
    <col min="9" max="9" width="13.00390625" style="201" customWidth="1"/>
    <col min="10" max="11" width="11.140625" style="201" customWidth="1"/>
    <col min="12" max="12" width="12.57421875" style="201" customWidth="1"/>
    <col min="13" max="13" width="11.421875" style="201" customWidth="1"/>
    <col min="14" max="14" width="10.421875" style="201" customWidth="1"/>
    <col min="15" max="15" width="15.140625" style="20" customWidth="1"/>
    <col min="16" max="16" width="16.28125" style="20" customWidth="1"/>
    <col min="17" max="17" width="15.8515625" style="20" customWidth="1"/>
    <col min="18" max="16384" width="9.140625" style="20" customWidth="1"/>
  </cols>
  <sheetData>
    <row r="1" spans="7:14" ht="63.75" customHeight="1">
      <c r="G1" s="571"/>
      <c r="H1" s="571"/>
      <c r="I1" s="796" t="s">
        <v>291</v>
      </c>
      <c r="J1" s="796"/>
      <c r="K1" s="796"/>
      <c r="L1" s="796"/>
      <c r="M1" s="796"/>
      <c r="N1" s="796"/>
    </row>
    <row r="2" spans="7:14" ht="15.75" customHeight="1">
      <c r="G2" s="571"/>
      <c r="H2" s="571"/>
      <c r="N2" s="477"/>
    </row>
    <row r="3" spans="1:14" ht="30" customHeight="1" thickBot="1">
      <c r="A3" s="804" t="s">
        <v>271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</row>
    <row r="4" spans="1:14" s="61" customFormat="1" ht="43.5" customHeight="1" thickBot="1">
      <c r="A4" s="810"/>
      <c r="B4" s="827" t="s">
        <v>273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</row>
    <row r="5" spans="1:14" s="61" customFormat="1" ht="48" customHeight="1" thickBot="1">
      <c r="A5" s="811"/>
      <c r="B5" s="821" t="s">
        <v>218</v>
      </c>
      <c r="C5" s="822"/>
      <c r="D5" s="823"/>
      <c r="E5" s="829" t="s">
        <v>242</v>
      </c>
      <c r="F5" s="830"/>
      <c r="G5" s="830"/>
      <c r="H5" s="830"/>
      <c r="I5" s="824" t="s">
        <v>1</v>
      </c>
      <c r="J5" s="825"/>
      <c r="K5" s="826"/>
      <c r="L5" s="824" t="s">
        <v>2</v>
      </c>
      <c r="M5" s="825"/>
      <c r="N5" s="826"/>
    </row>
    <row r="6" spans="1:14" s="61" customFormat="1" ht="51.75" customHeight="1">
      <c r="A6" s="811"/>
      <c r="B6" s="808" t="s">
        <v>14</v>
      </c>
      <c r="C6" s="819" t="s">
        <v>15</v>
      </c>
      <c r="D6" s="820"/>
      <c r="E6" s="831" t="s">
        <v>216</v>
      </c>
      <c r="F6" s="813" t="s">
        <v>217</v>
      </c>
      <c r="G6" s="815" t="s">
        <v>12</v>
      </c>
      <c r="H6" s="815" t="s">
        <v>13</v>
      </c>
      <c r="I6" s="806" t="s">
        <v>14</v>
      </c>
      <c r="J6" s="817" t="s">
        <v>15</v>
      </c>
      <c r="K6" s="818"/>
      <c r="L6" s="806" t="s">
        <v>14</v>
      </c>
      <c r="M6" s="817" t="s">
        <v>15</v>
      </c>
      <c r="N6" s="818"/>
    </row>
    <row r="7" spans="1:14" s="61" customFormat="1" ht="45" customHeight="1" thickBot="1">
      <c r="A7" s="812"/>
      <c r="B7" s="809"/>
      <c r="C7" s="484" t="s">
        <v>18</v>
      </c>
      <c r="D7" s="485" t="s">
        <v>17</v>
      </c>
      <c r="E7" s="832"/>
      <c r="F7" s="814"/>
      <c r="G7" s="816"/>
      <c r="H7" s="816"/>
      <c r="I7" s="807"/>
      <c r="J7" s="486" t="s">
        <v>18</v>
      </c>
      <c r="K7" s="487" t="s">
        <v>17</v>
      </c>
      <c r="L7" s="807"/>
      <c r="M7" s="486" t="s">
        <v>18</v>
      </c>
      <c r="N7" s="487" t="s">
        <v>17</v>
      </c>
    </row>
    <row r="8" spans="1:14" s="61" customFormat="1" ht="23.25" customHeight="1" thickBot="1">
      <c r="A8" s="488" t="s">
        <v>20</v>
      </c>
      <c r="B8" s="489">
        <v>7</v>
      </c>
      <c r="C8" s="490">
        <v>8</v>
      </c>
      <c r="D8" s="491">
        <v>9</v>
      </c>
      <c r="E8" s="492">
        <v>10</v>
      </c>
      <c r="F8" s="490">
        <v>11</v>
      </c>
      <c r="G8" s="559">
        <v>12</v>
      </c>
      <c r="H8" s="559">
        <v>13</v>
      </c>
      <c r="I8" s="489">
        <v>16</v>
      </c>
      <c r="J8" s="492">
        <v>17</v>
      </c>
      <c r="K8" s="493">
        <v>18</v>
      </c>
      <c r="L8" s="492">
        <v>19</v>
      </c>
      <c r="M8" s="490">
        <v>20</v>
      </c>
      <c r="N8" s="491">
        <v>21</v>
      </c>
    </row>
    <row r="9" spans="1:14" s="61" customFormat="1" ht="24.75" customHeight="1">
      <c r="A9" s="494" t="s">
        <v>21</v>
      </c>
      <c r="B9" s="660">
        <f>C9+D9</f>
        <v>409</v>
      </c>
      <c r="C9" s="250">
        <v>229</v>
      </c>
      <c r="D9" s="293">
        <f>K9-H9-G9</f>
        <v>180</v>
      </c>
      <c r="E9" s="495"/>
      <c r="F9" s="250">
        <v>2971</v>
      </c>
      <c r="G9" s="560"/>
      <c r="H9" s="560"/>
      <c r="I9" s="449">
        <f>J9+K9</f>
        <v>3380</v>
      </c>
      <c r="J9" s="447">
        <f>1200+500+500+500+500</f>
        <v>3200</v>
      </c>
      <c r="K9" s="450">
        <f>200-20</f>
        <v>180</v>
      </c>
      <c r="L9" s="427">
        <f>M9+N9</f>
        <v>0</v>
      </c>
      <c r="M9" s="427"/>
      <c r="N9" s="498"/>
    </row>
    <row r="10" spans="1:14" s="61" customFormat="1" ht="24.75" customHeight="1">
      <c r="A10" s="499" t="s">
        <v>22</v>
      </c>
      <c r="B10" s="661">
        <f aca="true" t="shared" si="0" ref="B10:B25">C10+D10</f>
        <v>9260</v>
      </c>
      <c r="C10" s="250">
        <f aca="true" t="shared" si="1" ref="C10:C25">J10-F10-E10</f>
        <v>0</v>
      </c>
      <c r="D10" s="293">
        <f aca="true" t="shared" si="2" ref="D10:D28">K10-H10-G10</f>
        <v>9260</v>
      </c>
      <c r="E10" s="501"/>
      <c r="F10" s="252"/>
      <c r="G10" s="561">
        <v>65</v>
      </c>
      <c r="H10" s="561">
        <v>13576</v>
      </c>
      <c r="I10" s="662">
        <f aca="true" t="shared" si="3" ref="I10:I28">J10+K10</f>
        <v>22901</v>
      </c>
      <c r="J10" s="451"/>
      <c r="K10" s="453">
        <v>22901</v>
      </c>
      <c r="L10" s="427">
        <f aca="true" t="shared" si="4" ref="L10:L29">M10+N10</f>
        <v>9000</v>
      </c>
      <c r="M10" s="427"/>
      <c r="N10" s="498">
        <v>9000</v>
      </c>
    </row>
    <row r="11" spans="1:14" s="61" customFormat="1" ht="24.75" customHeight="1">
      <c r="A11" s="499" t="s">
        <v>23</v>
      </c>
      <c r="B11" s="661">
        <f t="shared" si="0"/>
        <v>5000</v>
      </c>
      <c r="C11" s="250">
        <f t="shared" si="1"/>
        <v>5000</v>
      </c>
      <c r="D11" s="293">
        <f t="shared" si="2"/>
        <v>0</v>
      </c>
      <c r="E11" s="501">
        <v>1000</v>
      </c>
      <c r="F11" s="252">
        <v>4000</v>
      </c>
      <c r="G11" s="561"/>
      <c r="H11" s="561"/>
      <c r="I11" s="662">
        <f t="shared" si="3"/>
        <v>10000</v>
      </c>
      <c r="J11" s="451">
        <v>10000</v>
      </c>
      <c r="K11" s="453"/>
      <c r="L11" s="427">
        <f t="shared" si="4"/>
        <v>8314</v>
      </c>
      <c r="M11" s="427">
        <v>8314</v>
      </c>
      <c r="N11" s="498"/>
    </row>
    <row r="12" spans="1:14" s="61" customFormat="1" ht="24.75" customHeight="1">
      <c r="A12" s="499" t="s">
        <v>24</v>
      </c>
      <c r="B12" s="661">
        <f t="shared" si="0"/>
        <v>1857</v>
      </c>
      <c r="C12" s="250">
        <f t="shared" si="1"/>
        <v>1600</v>
      </c>
      <c r="D12" s="293">
        <f t="shared" si="2"/>
        <v>257</v>
      </c>
      <c r="E12" s="501"/>
      <c r="F12" s="252"/>
      <c r="G12" s="561">
        <v>57</v>
      </c>
      <c r="H12" s="561">
        <v>2186</v>
      </c>
      <c r="I12" s="662">
        <f t="shared" si="3"/>
        <v>4100</v>
      </c>
      <c r="J12" s="451">
        <f>2100-500</f>
        <v>1600</v>
      </c>
      <c r="K12" s="453">
        <v>2500</v>
      </c>
      <c r="L12" s="427">
        <f t="shared" si="4"/>
        <v>0</v>
      </c>
      <c r="M12" s="427"/>
      <c r="N12" s="498"/>
    </row>
    <row r="13" spans="1:14" s="61" customFormat="1" ht="24.75" customHeight="1">
      <c r="A13" s="499" t="s">
        <v>25</v>
      </c>
      <c r="B13" s="661">
        <f t="shared" si="0"/>
        <v>0</v>
      </c>
      <c r="C13" s="250">
        <f t="shared" si="1"/>
        <v>0</v>
      </c>
      <c r="D13" s="293">
        <f t="shared" si="2"/>
        <v>0</v>
      </c>
      <c r="E13" s="501"/>
      <c r="F13" s="252"/>
      <c r="G13" s="561"/>
      <c r="H13" s="561"/>
      <c r="I13" s="662">
        <f t="shared" si="3"/>
        <v>0</v>
      </c>
      <c r="J13" s="451"/>
      <c r="K13" s="453"/>
      <c r="L13" s="427">
        <f t="shared" si="4"/>
        <v>0</v>
      </c>
      <c r="M13" s="427"/>
      <c r="N13" s="498"/>
    </row>
    <row r="14" spans="1:14" s="61" customFormat="1" ht="24.75" customHeight="1">
      <c r="A14" s="499" t="s">
        <v>26</v>
      </c>
      <c r="B14" s="661">
        <f t="shared" si="0"/>
        <v>0</v>
      </c>
      <c r="C14" s="250">
        <f t="shared" si="1"/>
        <v>0</v>
      </c>
      <c r="D14" s="293">
        <f t="shared" si="2"/>
        <v>0</v>
      </c>
      <c r="E14" s="501"/>
      <c r="F14" s="252"/>
      <c r="G14" s="561"/>
      <c r="H14" s="561"/>
      <c r="I14" s="662">
        <f t="shared" si="3"/>
        <v>0</v>
      </c>
      <c r="J14" s="451"/>
      <c r="K14" s="453"/>
      <c r="L14" s="427">
        <f t="shared" si="4"/>
        <v>0</v>
      </c>
      <c r="M14" s="427"/>
      <c r="N14" s="498"/>
    </row>
    <row r="15" spans="1:14" s="61" customFormat="1" ht="24.75" customHeight="1">
      <c r="A15" s="499" t="s">
        <v>27</v>
      </c>
      <c r="B15" s="661">
        <f t="shared" si="0"/>
        <v>2521</v>
      </c>
      <c r="C15" s="250">
        <f t="shared" si="1"/>
        <v>2000</v>
      </c>
      <c r="D15" s="293">
        <f t="shared" si="2"/>
        <v>521</v>
      </c>
      <c r="E15" s="501"/>
      <c r="F15" s="252"/>
      <c r="G15" s="561">
        <v>65</v>
      </c>
      <c r="H15" s="561">
        <v>4414</v>
      </c>
      <c r="I15" s="662">
        <f t="shared" si="3"/>
        <v>7000</v>
      </c>
      <c r="J15" s="451">
        <v>2000</v>
      </c>
      <c r="K15" s="453">
        <v>5000</v>
      </c>
      <c r="L15" s="427">
        <f t="shared" si="4"/>
        <v>300</v>
      </c>
      <c r="M15" s="427">
        <v>300</v>
      </c>
      <c r="N15" s="498"/>
    </row>
    <row r="16" spans="1:14" s="61" customFormat="1" ht="24.75" customHeight="1">
      <c r="A16" s="499" t="s">
        <v>28</v>
      </c>
      <c r="B16" s="661">
        <f t="shared" si="0"/>
        <v>350</v>
      </c>
      <c r="C16" s="250">
        <f t="shared" si="1"/>
        <v>300</v>
      </c>
      <c r="D16" s="293">
        <f t="shared" si="2"/>
        <v>50</v>
      </c>
      <c r="E16" s="501"/>
      <c r="F16" s="252"/>
      <c r="G16" s="561"/>
      <c r="H16" s="561"/>
      <c r="I16" s="662">
        <f t="shared" si="3"/>
        <v>350</v>
      </c>
      <c r="J16" s="572">
        <v>300</v>
      </c>
      <c r="K16" s="453">
        <v>50</v>
      </c>
      <c r="L16" s="427">
        <f t="shared" si="4"/>
        <v>0</v>
      </c>
      <c r="M16" s="427"/>
      <c r="N16" s="498"/>
    </row>
    <row r="17" spans="1:14" s="61" customFormat="1" ht="24.75" customHeight="1">
      <c r="A17" s="499" t="s">
        <v>29</v>
      </c>
      <c r="B17" s="661">
        <f t="shared" si="0"/>
        <v>1175</v>
      </c>
      <c r="C17" s="250">
        <v>936</v>
      </c>
      <c r="D17" s="293">
        <f t="shared" si="2"/>
        <v>239</v>
      </c>
      <c r="E17" s="501"/>
      <c r="F17" s="252">
        <v>564</v>
      </c>
      <c r="G17" s="561">
        <v>65</v>
      </c>
      <c r="H17" s="561">
        <v>3196</v>
      </c>
      <c r="I17" s="662">
        <f t="shared" si="3"/>
        <v>5000</v>
      </c>
      <c r="J17" s="451">
        <f>2000-500</f>
        <v>1500</v>
      </c>
      <c r="K17" s="453">
        <v>3500</v>
      </c>
      <c r="L17" s="427">
        <f t="shared" si="4"/>
        <v>2350</v>
      </c>
      <c r="M17" s="427">
        <f>2500-150</f>
        <v>2350</v>
      </c>
      <c r="N17" s="498"/>
    </row>
    <row r="18" spans="1:14" s="61" customFormat="1" ht="24.75" customHeight="1">
      <c r="A18" s="499" t="s">
        <v>30</v>
      </c>
      <c r="B18" s="661">
        <f t="shared" si="0"/>
        <v>500</v>
      </c>
      <c r="C18" s="250">
        <f t="shared" si="1"/>
        <v>500</v>
      </c>
      <c r="D18" s="293">
        <f t="shared" si="2"/>
        <v>0</v>
      </c>
      <c r="E18" s="501"/>
      <c r="F18" s="252"/>
      <c r="G18" s="561">
        <v>36</v>
      </c>
      <c r="H18" s="561">
        <v>1684</v>
      </c>
      <c r="I18" s="662">
        <f t="shared" si="3"/>
        <v>2220</v>
      </c>
      <c r="J18" s="451">
        <v>500</v>
      </c>
      <c r="K18" s="453">
        <v>1720</v>
      </c>
      <c r="L18" s="427">
        <f t="shared" si="4"/>
        <v>0</v>
      </c>
      <c r="M18" s="427"/>
      <c r="N18" s="498"/>
    </row>
    <row r="19" spans="1:14" s="61" customFormat="1" ht="24.75" customHeight="1">
      <c r="A19" s="499" t="s">
        <v>144</v>
      </c>
      <c r="B19" s="661">
        <f t="shared" si="0"/>
        <v>44</v>
      </c>
      <c r="C19" s="250">
        <f t="shared" si="1"/>
        <v>0</v>
      </c>
      <c r="D19" s="293">
        <f t="shared" si="2"/>
        <v>44</v>
      </c>
      <c r="E19" s="501"/>
      <c r="F19" s="252"/>
      <c r="G19" s="561">
        <v>65</v>
      </c>
      <c r="H19" s="561">
        <v>3891</v>
      </c>
      <c r="I19" s="662">
        <f t="shared" si="3"/>
        <v>4000</v>
      </c>
      <c r="J19" s="451"/>
      <c r="K19" s="453">
        <v>4000</v>
      </c>
      <c r="L19" s="427">
        <f t="shared" si="4"/>
        <v>2000</v>
      </c>
      <c r="M19" s="427">
        <v>2000</v>
      </c>
      <c r="N19" s="498"/>
    </row>
    <row r="20" spans="1:14" s="61" customFormat="1" ht="24.75" customHeight="1">
      <c r="A20" s="499" t="s">
        <v>31</v>
      </c>
      <c r="B20" s="661">
        <f t="shared" si="0"/>
        <v>300</v>
      </c>
      <c r="C20" s="250">
        <f t="shared" si="1"/>
        <v>300</v>
      </c>
      <c r="D20" s="293">
        <f t="shared" si="2"/>
        <v>0</v>
      </c>
      <c r="E20" s="501"/>
      <c r="F20" s="252"/>
      <c r="G20" s="561"/>
      <c r="H20" s="561"/>
      <c r="I20" s="662">
        <f t="shared" si="3"/>
        <v>300</v>
      </c>
      <c r="J20" s="451">
        <v>300</v>
      </c>
      <c r="K20" s="453"/>
      <c r="L20" s="427">
        <f t="shared" si="4"/>
        <v>0</v>
      </c>
      <c r="M20" s="427"/>
      <c r="N20" s="498"/>
    </row>
    <row r="21" spans="1:14" s="61" customFormat="1" ht="24.75" customHeight="1">
      <c r="A21" s="499" t="s">
        <v>32</v>
      </c>
      <c r="B21" s="661">
        <f t="shared" si="0"/>
        <v>1724</v>
      </c>
      <c r="C21" s="250">
        <f t="shared" si="1"/>
        <v>1520</v>
      </c>
      <c r="D21" s="293">
        <f t="shared" si="2"/>
        <v>204</v>
      </c>
      <c r="E21" s="501"/>
      <c r="F21" s="252"/>
      <c r="G21" s="561">
        <v>63</v>
      </c>
      <c r="H21" s="561">
        <v>9233</v>
      </c>
      <c r="I21" s="662">
        <f t="shared" si="3"/>
        <v>11020</v>
      </c>
      <c r="J21" s="451">
        <f>2000-500+20</f>
        <v>1520</v>
      </c>
      <c r="K21" s="453">
        <v>9500</v>
      </c>
      <c r="L21" s="427">
        <f t="shared" si="4"/>
        <v>150</v>
      </c>
      <c r="M21" s="427">
        <v>100</v>
      </c>
      <c r="N21" s="498">
        <v>50</v>
      </c>
    </row>
    <row r="22" spans="1:14" s="61" customFormat="1" ht="24.75" customHeight="1">
      <c r="A22" s="499" t="s">
        <v>33</v>
      </c>
      <c r="B22" s="661">
        <f t="shared" si="0"/>
        <v>4015</v>
      </c>
      <c r="C22" s="250">
        <v>3894</v>
      </c>
      <c r="D22" s="293">
        <f t="shared" si="2"/>
        <v>121</v>
      </c>
      <c r="E22" s="501"/>
      <c r="F22" s="252">
        <v>1106</v>
      </c>
      <c r="G22" s="561">
        <v>29</v>
      </c>
      <c r="H22" s="561">
        <v>1850</v>
      </c>
      <c r="I22" s="662">
        <f t="shared" si="3"/>
        <v>7000</v>
      </c>
      <c r="J22" s="451">
        <f>5500-500</f>
        <v>5000</v>
      </c>
      <c r="K22" s="453">
        <v>2000</v>
      </c>
      <c r="L22" s="427">
        <f t="shared" si="4"/>
        <v>0</v>
      </c>
      <c r="M22" s="427"/>
      <c r="N22" s="498"/>
    </row>
    <row r="23" spans="1:14" s="61" customFormat="1" ht="24.75" customHeight="1">
      <c r="A23" s="499" t="s">
        <v>34</v>
      </c>
      <c r="B23" s="661">
        <f t="shared" si="0"/>
        <v>694</v>
      </c>
      <c r="C23" s="250">
        <f t="shared" si="1"/>
        <v>500</v>
      </c>
      <c r="D23" s="293">
        <f t="shared" si="2"/>
        <v>194</v>
      </c>
      <c r="E23" s="501"/>
      <c r="F23" s="252"/>
      <c r="G23" s="561">
        <v>65</v>
      </c>
      <c r="H23" s="561">
        <v>3741</v>
      </c>
      <c r="I23" s="662">
        <f t="shared" si="3"/>
        <v>4500</v>
      </c>
      <c r="J23" s="451">
        <v>500</v>
      </c>
      <c r="K23" s="453">
        <v>4000</v>
      </c>
      <c r="L23" s="427">
        <f t="shared" si="4"/>
        <v>86</v>
      </c>
      <c r="M23" s="427">
        <f>100-14</f>
        <v>86</v>
      </c>
      <c r="N23" s="498"/>
    </row>
    <row r="24" spans="1:14" s="61" customFormat="1" ht="24.75" customHeight="1">
      <c r="A24" s="499" t="s">
        <v>35</v>
      </c>
      <c r="B24" s="661">
        <f t="shared" si="0"/>
        <v>3411</v>
      </c>
      <c r="C24" s="250">
        <f t="shared" si="1"/>
        <v>2861</v>
      </c>
      <c r="D24" s="293">
        <f t="shared" si="2"/>
        <v>550</v>
      </c>
      <c r="E24" s="501"/>
      <c r="F24" s="252">
        <v>1139</v>
      </c>
      <c r="G24" s="561">
        <v>65</v>
      </c>
      <c r="H24" s="561">
        <v>3885</v>
      </c>
      <c r="I24" s="662">
        <f t="shared" si="3"/>
        <v>8500</v>
      </c>
      <c r="J24" s="451">
        <v>4000</v>
      </c>
      <c r="K24" s="453">
        <v>4500</v>
      </c>
      <c r="L24" s="427">
        <f t="shared" si="4"/>
        <v>236</v>
      </c>
      <c r="M24" s="427">
        <f>250-14</f>
        <v>236</v>
      </c>
      <c r="N24" s="498"/>
    </row>
    <row r="25" spans="1:14" s="61" customFormat="1" ht="24.75" customHeight="1" thickBot="1">
      <c r="A25" s="503" t="s">
        <v>36</v>
      </c>
      <c r="B25" s="661">
        <f t="shared" si="0"/>
        <v>1500</v>
      </c>
      <c r="C25" s="250">
        <f t="shared" si="1"/>
        <v>800</v>
      </c>
      <c r="D25" s="293">
        <f t="shared" si="2"/>
        <v>700</v>
      </c>
      <c r="E25" s="501"/>
      <c r="F25" s="252"/>
      <c r="G25" s="561"/>
      <c r="H25" s="561"/>
      <c r="I25" s="662">
        <f t="shared" si="3"/>
        <v>1500</v>
      </c>
      <c r="J25" s="451">
        <v>800</v>
      </c>
      <c r="K25" s="453">
        <v>700</v>
      </c>
      <c r="L25" s="427">
        <f t="shared" si="4"/>
        <v>0</v>
      </c>
      <c r="M25" s="504"/>
      <c r="N25" s="505"/>
    </row>
    <row r="26" spans="1:14" s="61" customFormat="1" ht="19.5" customHeight="1" hidden="1">
      <c r="A26" s="506" t="s">
        <v>37</v>
      </c>
      <c r="B26" s="500"/>
      <c r="C26" s="250"/>
      <c r="D26" s="293">
        <f t="shared" si="2"/>
        <v>198</v>
      </c>
      <c r="E26" s="501"/>
      <c r="F26" s="252"/>
      <c r="G26" s="561"/>
      <c r="H26" s="561"/>
      <c r="I26" s="502" t="e">
        <f t="shared" si="3"/>
        <v>#REF!</v>
      </c>
      <c r="J26" s="451">
        <f>C26+E26+F26</f>
        <v>0</v>
      </c>
      <c r="K26" s="453" t="e">
        <f>D26+G26+H26+#REF!+#REF!</f>
        <v>#REF!</v>
      </c>
      <c r="L26" s="497">
        <f t="shared" si="4"/>
        <v>0</v>
      </c>
      <c r="M26" s="507"/>
      <c r="N26" s="508"/>
    </row>
    <row r="27" spans="1:14" s="61" customFormat="1" ht="15.75" hidden="1" thickBot="1">
      <c r="A27" s="506" t="s">
        <v>38</v>
      </c>
      <c r="B27" s="500"/>
      <c r="C27" s="250"/>
      <c r="D27" s="293">
        <f t="shared" si="2"/>
        <v>198</v>
      </c>
      <c r="E27" s="501"/>
      <c r="F27" s="252"/>
      <c r="G27" s="561"/>
      <c r="H27" s="561"/>
      <c r="I27" s="502" t="e">
        <f t="shared" si="3"/>
        <v>#REF!</v>
      </c>
      <c r="J27" s="451">
        <f>C27+E27+F27</f>
        <v>0</v>
      </c>
      <c r="K27" s="453" t="e">
        <f>D27+G27+H27+#REF!+#REF!</f>
        <v>#REF!</v>
      </c>
      <c r="L27" s="497">
        <f t="shared" si="4"/>
        <v>0</v>
      </c>
      <c r="M27" s="507"/>
      <c r="N27" s="508"/>
    </row>
    <row r="28" spans="1:14" s="61" customFormat="1" ht="31.5" hidden="1" thickBot="1">
      <c r="A28" s="509" t="s">
        <v>39</v>
      </c>
      <c r="B28" s="510"/>
      <c r="C28" s="250"/>
      <c r="D28" s="293">
        <f t="shared" si="2"/>
        <v>198</v>
      </c>
      <c r="E28" s="511"/>
      <c r="F28" s="255"/>
      <c r="G28" s="562"/>
      <c r="H28" s="562"/>
      <c r="I28" s="512" t="e">
        <f t="shared" si="3"/>
        <v>#REF!</v>
      </c>
      <c r="J28" s="455">
        <f>C28+E28+F28</f>
        <v>0</v>
      </c>
      <c r="K28" s="458" t="e">
        <f>D28+G28+H28+#REF!+#REF!</f>
        <v>#REF!</v>
      </c>
      <c r="L28" s="513">
        <f t="shared" si="4"/>
        <v>0</v>
      </c>
      <c r="M28" s="454"/>
      <c r="N28" s="514"/>
    </row>
    <row r="29" spans="1:17" s="61" customFormat="1" ht="41.25" customHeight="1" thickBot="1">
      <c r="A29" s="515" t="s">
        <v>241</v>
      </c>
      <c r="B29" s="246">
        <f>SUM(B9:B25)</f>
        <v>32760</v>
      </c>
      <c r="C29" s="516">
        <f>SUM(C9:C25)</f>
        <v>20440</v>
      </c>
      <c r="D29" s="517">
        <f>SUM(D9:D25)</f>
        <v>12320</v>
      </c>
      <c r="E29" s="518">
        <f>SUM(E9:E28)</f>
        <v>1000</v>
      </c>
      <c r="F29" s="247">
        <f>SUM(F9:F28)</f>
        <v>9780</v>
      </c>
      <c r="G29" s="563">
        <f>SUM(G9:G28)</f>
        <v>575</v>
      </c>
      <c r="H29" s="563">
        <f>SUM(H9:H28)</f>
        <v>47656</v>
      </c>
      <c r="I29" s="424">
        <f>SUM(I9:I25)</f>
        <v>91771</v>
      </c>
      <c r="J29" s="519">
        <f>SUM(J9:J25)</f>
        <v>31220</v>
      </c>
      <c r="K29" s="520">
        <f>SUM(K9:K25)</f>
        <v>60551</v>
      </c>
      <c r="L29" s="446">
        <f t="shared" si="4"/>
        <v>22436</v>
      </c>
      <c r="M29" s="521">
        <f>SUM(M9:M28)</f>
        <v>13386</v>
      </c>
      <c r="N29" s="522">
        <f>SUM(N9:N28)</f>
        <v>9050</v>
      </c>
      <c r="O29" s="523"/>
      <c r="P29" s="523"/>
      <c r="Q29" s="523"/>
    </row>
    <row r="30" spans="1:17" s="61" customFormat="1" ht="18.75" customHeight="1">
      <c r="A30" s="524" t="s">
        <v>41</v>
      </c>
      <c r="B30" s="525"/>
      <c r="C30" s="526"/>
      <c r="D30" s="527"/>
      <c r="E30" s="304"/>
      <c r="F30" s="528"/>
      <c r="G30" s="564"/>
      <c r="H30" s="564"/>
      <c r="I30" s="496">
        <f>'приложение 2'!G10</f>
        <v>2800</v>
      </c>
      <c r="J30" s="567"/>
      <c r="K30" s="568"/>
      <c r="L30" s="497">
        <f>'приложение 2'!G14</f>
        <v>100</v>
      </c>
      <c r="M30" s="447"/>
      <c r="N30" s="450"/>
      <c r="O30" s="523"/>
      <c r="P30" s="523"/>
      <c r="Q30" s="523"/>
    </row>
    <row r="31" spans="1:17" s="61" customFormat="1" ht="30" customHeight="1" thickBot="1">
      <c r="A31" s="529" t="s">
        <v>42</v>
      </c>
      <c r="B31" s="530"/>
      <c r="C31" s="531"/>
      <c r="D31" s="532"/>
      <c r="E31" s="533"/>
      <c r="F31" s="534"/>
      <c r="G31" s="565"/>
      <c r="H31" s="565"/>
      <c r="I31" s="535">
        <f>'приложение 1'!G12</f>
        <v>94571.39124</v>
      </c>
      <c r="J31" s="536"/>
      <c r="K31" s="537"/>
      <c r="L31" s="538">
        <f>'приложение 1'!H12</f>
        <v>22536.444996000002</v>
      </c>
      <c r="M31" s="536"/>
      <c r="N31" s="537"/>
      <c r="O31" s="523"/>
      <c r="P31" s="523"/>
      <c r="Q31" s="523"/>
    </row>
    <row r="32" spans="1:17" ht="21.75" customHeight="1" hidden="1">
      <c r="A32" s="805"/>
      <c r="B32" s="805"/>
      <c r="C32" s="230"/>
      <c r="D32" s="230"/>
      <c r="E32" s="230"/>
      <c r="F32" s="230"/>
      <c r="G32" s="566"/>
      <c r="H32" s="566"/>
      <c r="I32" s="230">
        <f>'приложение 2'!N10</f>
        <v>91771</v>
      </c>
      <c r="J32" s="230">
        <f>I32-I29</f>
        <v>0</v>
      </c>
      <c r="K32" s="230"/>
      <c r="L32" s="230">
        <f>L31-L30</f>
        <v>22436.444996000002</v>
      </c>
      <c r="M32" s="230">
        <f>L32-L29</f>
        <v>0.4449960000019928</v>
      </c>
      <c r="N32" s="230"/>
      <c r="O32" s="27"/>
      <c r="P32" s="27"/>
      <c r="Q32" s="27"/>
    </row>
    <row r="33" spans="1:17" ht="13.5">
      <c r="A33" s="232"/>
      <c r="B33" s="234"/>
      <c r="C33" s="234"/>
      <c r="D33" s="234"/>
      <c r="E33" s="234"/>
      <c r="F33" s="234"/>
      <c r="G33" s="725"/>
      <c r="H33" s="725"/>
      <c r="I33" s="234"/>
      <c r="J33" s="234"/>
      <c r="K33" s="234"/>
      <c r="L33" s="234"/>
      <c r="M33" s="234"/>
      <c r="N33" s="234"/>
      <c r="O33" s="27"/>
      <c r="P33" s="27"/>
      <c r="Q33" s="27"/>
    </row>
    <row r="34" spans="2:17" ht="13.5">
      <c r="B34" s="235"/>
      <c r="C34" s="235"/>
      <c r="D34" s="235"/>
      <c r="E34" s="235"/>
      <c r="F34" s="235"/>
      <c r="G34" s="569"/>
      <c r="H34" s="569"/>
      <c r="I34" s="235"/>
      <c r="J34" s="235"/>
      <c r="K34" s="235"/>
      <c r="L34" s="235"/>
      <c r="M34" s="235"/>
      <c r="N34" s="235"/>
      <c r="O34" s="27"/>
      <c r="P34" s="27"/>
      <c r="Q34" s="27"/>
    </row>
    <row r="35" spans="2:17" ht="13.5">
      <c r="B35" s="236"/>
      <c r="C35" s="236"/>
      <c r="D35" s="236"/>
      <c r="E35" s="236"/>
      <c r="F35" s="236"/>
      <c r="G35" s="726"/>
      <c r="H35" s="726"/>
      <c r="I35" s="236"/>
      <c r="J35" s="236"/>
      <c r="K35" s="236"/>
      <c r="L35" s="236"/>
      <c r="M35" s="236"/>
      <c r="N35" s="236"/>
      <c r="O35" s="27"/>
      <c r="P35" s="27"/>
      <c r="Q35" s="27"/>
    </row>
    <row r="36" spans="2:17" ht="13.5">
      <c r="B36" s="235"/>
      <c r="C36" s="235"/>
      <c r="D36" s="235"/>
      <c r="E36" s="235"/>
      <c r="F36" s="235"/>
      <c r="G36" s="569"/>
      <c r="H36" s="569"/>
      <c r="I36" s="235"/>
      <c r="J36" s="235"/>
      <c r="K36" s="235"/>
      <c r="L36" s="235"/>
      <c r="M36" s="235"/>
      <c r="N36" s="235"/>
      <c r="O36" s="27"/>
      <c r="P36" s="27"/>
      <c r="Q36" s="27"/>
    </row>
    <row r="37" spans="1:17" ht="13.5">
      <c r="A37" s="237"/>
      <c r="B37" s="238"/>
      <c r="C37" s="238"/>
      <c r="D37" s="238"/>
      <c r="E37" s="238"/>
      <c r="F37" s="238"/>
      <c r="G37" s="570"/>
      <c r="H37" s="570"/>
      <c r="J37" s="238"/>
      <c r="K37" s="238"/>
      <c r="L37" s="656"/>
      <c r="M37" s="238"/>
      <c r="N37" s="238"/>
      <c r="O37" s="27"/>
      <c r="P37" s="27"/>
      <c r="Q37" s="27"/>
    </row>
    <row r="38" spans="7:17" ht="13.5">
      <c r="G38" s="571"/>
      <c r="H38" s="571"/>
      <c r="O38" s="27"/>
      <c r="P38" s="27"/>
      <c r="Q38" s="27"/>
    </row>
    <row r="39" spans="7:16" ht="13.5">
      <c r="G39" s="571"/>
      <c r="H39" s="571"/>
      <c r="P39" s="27"/>
    </row>
    <row r="40" spans="7:16" ht="13.5">
      <c r="G40" s="571"/>
      <c r="H40" s="571"/>
      <c r="P40" s="27"/>
    </row>
    <row r="41" spans="7:16" ht="13.5">
      <c r="G41" s="571"/>
      <c r="H41" s="571"/>
      <c r="P41" s="27"/>
    </row>
    <row r="42" spans="7:16" ht="13.5">
      <c r="G42" s="571"/>
      <c r="H42" s="571"/>
      <c r="P42" s="27"/>
    </row>
    <row r="43" spans="7:16" ht="13.5">
      <c r="G43" s="571"/>
      <c r="H43" s="571"/>
      <c r="P43" s="27"/>
    </row>
    <row r="44" spans="7:16" ht="13.5">
      <c r="G44" s="571"/>
      <c r="H44" s="571"/>
      <c r="P44" s="27"/>
    </row>
    <row r="45" spans="7:16" ht="13.5">
      <c r="G45" s="571"/>
      <c r="H45" s="571"/>
      <c r="P45" s="27"/>
    </row>
    <row r="46" spans="7:16" ht="13.5">
      <c r="G46" s="571"/>
      <c r="H46" s="571"/>
      <c r="P46" s="27"/>
    </row>
    <row r="47" spans="7:16" ht="13.5">
      <c r="G47" s="571"/>
      <c r="H47" s="571"/>
      <c r="P47" s="27"/>
    </row>
    <row r="48" ht="15" customHeight="1" hidden="1"/>
    <row r="49" ht="15.75" customHeight="1" hidden="1" thickBot="1"/>
    <row r="50" ht="15" customHeight="1" hidden="1"/>
    <row r="51" ht="65.25" customHeight="1" hidden="1"/>
    <row r="52" ht="15" customHeight="1" hidden="1" thickBot="1"/>
    <row r="53" ht="15.75" customHeight="1" hidden="1" thickBot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>
      <c r="P60" s="27"/>
    </row>
    <row r="61" ht="15" customHeight="1" hidden="1">
      <c r="P61" s="27"/>
    </row>
    <row r="62" ht="15" customHeight="1" hidden="1">
      <c r="P62" s="27"/>
    </row>
    <row r="63" ht="15" customHeight="1" hidden="1">
      <c r="P63" s="27"/>
    </row>
    <row r="64" ht="15" customHeight="1" hidden="1">
      <c r="P64" s="27"/>
    </row>
    <row r="65" ht="15" customHeight="1" hidden="1">
      <c r="P65" s="27"/>
    </row>
    <row r="66" ht="15" customHeight="1" hidden="1">
      <c r="P66" s="27"/>
    </row>
    <row r="67" ht="15" customHeight="1" hidden="1">
      <c r="P67" s="27"/>
    </row>
    <row r="68" ht="15" customHeight="1" hidden="1">
      <c r="P68" s="27"/>
    </row>
    <row r="69" ht="15" customHeight="1" hidden="1">
      <c r="P69" s="27"/>
    </row>
    <row r="70" ht="15" customHeight="1" hidden="1">
      <c r="P70" s="27"/>
    </row>
    <row r="71" ht="15" customHeight="1" hidden="1">
      <c r="P71" s="27"/>
    </row>
    <row r="72" ht="15" customHeight="1" hidden="1">
      <c r="P72" s="27"/>
    </row>
    <row r="73" ht="15" customHeight="1" hidden="1">
      <c r="P73" s="27"/>
    </row>
    <row r="74" ht="15" customHeight="1" hidden="1">
      <c r="P74" s="27"/>
    </row>
    <row r="75" ht="15.75" customHeight="1" hidden="1" thickBot="1">
      <c r="P75" s="27"/>
    </row>
    <row r="76" ht="15.75" customHeight="1" hidden="1" thickBot="1">
      <c r="P76" s="27"/>
    </row>
    <row r="77" ht="15" customHeight="1" hidden="1"/>
    <row r="78" ht="15" customHeight="1" hidden="1"/>
    <row r="79" ht="15" customHeight="1" hidden="1"/>
    <row r="80" ht="15.75" customHeight="1" hidden="1" thickBot="1"/>
    <row r="81" ht="15" customHeight="1" hidden="1"/>
    <row r="82" ht="65.25" customHeight="1" hidden="1"/>
    <row r="83" ht="15" customHeight="1" hidden="1" thickBot="1"/>
    <row r="84" ht="15.75" customHeight="1" hidden="1" thickBot="1"/>
    <row r="85" ht="15.75" customHeight="1" hidden="1" thickBot="1"/>
    <row r="86" ht="15.75" customHeight="1" hidden="1" thickBot="1"/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.75" customHeight="1" hidden="1" thickBot="1"/>
    <row r="110" ht="15" customHeight="1" hidden="1"/>
    <row r="111" ht="65.25" customHeight="1" hidden="1"/>
    <row r="112" ht="15" customHeight="1" hidden="1" thickBot="1"/>
    <row r="113" ht="15.75" customHeight="1" hidden="1" thickBot="1"/>
    <row r="114" ht="15" customHeight="1" hidden="1"/>
    <row r="115" ht="15" customHeight="1" hidden="1"/>
    <row r="116" ht="15" customHeight="1" hidden="1"/>
    <row r="117" ht="15" customHeight="1" hidden="1"/>
    <row r="118" ht="15.75" customHeight="1" hidden="1" thickBot="1"/>
    <row r="119" ht="15.75" customHeight="1" hidden="1" thickBot="1"/>
    <row r="120" ht="15" customHeight="1" hidden="1"/>
    <row r="121" ht="15" customHeight="1" hidden="1"/>
    <row r="122" ht="15.75" customHeight="1" hidden="1" thickBot="1"/>
    <row r="123" ht="15" customHeight="1" hidden="1"/>
    <row r="124" ht="65.25" customHeight="1" hidden="1"/>
    <row r="125" ht="15" customHeight="1" hidden="1" thickBot="1"/>
    <row r="126" ht="15.75" customHeight="1" hidden="1" thickBot="1"/>
    <row r="127" ht="15.75" customHeight="1" hidden="1" thickBot="1"/>
    <row r="128" ht="15.75" customHeight="1" hidden="1" thickBot="1"/>
    <row r="129" ht="15" customHeight="1" hidden="1"/>
    <row r="130" ht="15" customHeight="1" hidden="1"/>
    <row r="131" ht="15.75" customHeight="1" hidden="1" thickBot="1"/>
    <row r="132" ht="15" customHeight="1" hidden="1"/>
    <row r="133" ht="65.25" customHeight="1" hidden="1"/>
    <row r="134" ht="15" customHeight="1" hidden="1" thickBot="1"/>
    <row r="135" ht="15.75" customHeight="1" hidden="1" thickBot="1"/>
    <row r="136" ht="15" customHeight="1" hidden="1"/>
    <row r="137" ht="15.75" customHeight="1" hidden="1" thickBot="1"/>
    <row r="138" ht="15.75" customHeight="1" hidden="1" thickBot="1"/>
    <row r="139" ht="15" customHeight="1" hidden="1"/>
  </sheetData>
  <sheetProtection/>
  <mergeCells count="19">
    <mergeCell ref="B5:D5"/>
    <mergeCell ref="L5:N5"/>
    <mergeCell ref="I5:K5"/>
    <mergeCell ref="B4:N4"/>
    <mergeCell ref="M6:N6"/>
    <mergeCell ref="H6:H7"/>
    <mergeCell ref="E5:H5"/>
    <mergeCell ref="I6:I7"/>
    <mergeCell ref="E6:E7"/>
    <mergeCell ref="I1:N1"/>
    <mergeCell ref="A32:B32"/>
    <mergeCell ref="L6:L7"/>
    <mergeCell ref="B6:B7"/>
    <mergeCell ref="A4:A7"/>
    <mergeCell ref="F6:F7"/>
    <mergeCell ref="A3:N3"/>
    <mergeCell ref="G6:G7"/>
    <mergeCell ref="J6:K6"/>
    <mergeCell ref="C6:D6"/>
  </mergeCells>
  <printOptions/>
  <pageMargins left="0.1968503937007874" right="0.15748031496062992" top="0.3937007874015748" bottom="0.15748031496062992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H157"/>
  <sheetViews>
    <sheetView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1" width="3.57421875" style="20" customWidth="1"/>
    <col min="2" max="2" width="44.7109375" style="239" customWidth="1"/>
    <col min="3" max="5" width="34.7109375" style="240" customWidth="1"/>
    <col min="6" max="10" width="34.7109375" style="20" customWidth="1"/>
    <col min="11" max="16384" width="9.140625" style="20" customWidth="1"/>
  </cols>
  <sheetData>
    <row r="1" spans="4:6" ht="60.75" customHeight="1">
      <c r="D1" s="796" t="s">
        <v>292</v>
      </c>
      <c r="E1" s="796"/>
      <c r="F1" s="234"/>
    </row>
    <row r="2" ht="18.75" customHeight="1"/>
    <row r="3" spans="2:6" ht="30" customHeight="1">
      <c r="B3" s="833" t="s">
        <v>272</v>
      </c>
      <c r="C3" s="833"/>
      <c r="D3" s="833"/>
      <c r="E3" s="833"/>
      <c r="F3" s="674"/>
    </row>
    <row r="4" spans="2:5" ht="10.5" customHeight="1" thickBot="1">
      <c r="B4" s="241"/>
      <c r="C4" s="839"/>
      <c r="D4" s="839"/>
      <c r="E4" s="839"/>
    </row>
    <row r="5" spans="2:5" ht="41.25" customHeight="1" thickBot="1">
      <c r="B5" s="810"/>
      <c r="C5" s="835" t="s">
        <v>273</v>
      </c>
      <c r="D5" s="836"/>
      <c r="E5" s="837"/>
    </row>
    <row r="6" spans="2:5" ht="15" customHeight="1">
      <c r="B6" s="811"/>
      <c r="C6" s="838" t="s">
        <v>14</v>
      </c>
      <c r="D6" s="840" t="s">
        <v>45</v>
      </c>
      <c r="E6" s="841"/>
    </row>
    <row r="7" spans="2:5" ht="15.75" thickBot="1">
      <c r="B7" s="812"/>
      <c r="C7" s="807"/>
      <c r="D7" s="422" t="s">
        <v>58</v>
      </c>
      <c r="E7" s="423" t="s">
        <v>17</v>
      </c>
    </row>
    <row r="8" spans="2:5" ht="21" customHeight="1" thickBot="1">
      <c r="B8" s="245" t="s">
        <v>20</v>
      </c>
      <c r="C8" s="424">
        <v>1</v>
      </c>
      <c r="D8" s="425">
        <v>2</v>
      </c>
      <c r="E8" s="426">
        <v>3</v>
      </c>
    </row>
    <row r="9" spans="2:5" ht="19.5" customHeight="1">
      <c r="B9" s="428" t="s">
        <v>46</v>
      </c>
      <c r="C9" s="657">
        <f>D9+E9</f>
        <v>500</v>
      </c>
      <c r="D9" s="430">
        <v>450</v>
      </c>
      <c r="E9" s="431">
        <v>50</v>
      </c>
    </row>
    <row r="10" spans="2:5" ht="19.5" customHeight="1">
      <c r="B10" s="432" t="s">
        <v>22</v>
      </c>
      <c r="C10" s="657">
        <f aca="true" t="shared" si="0" ref="C10:C25">D10+E10</f>
        <v>26000</v>
      </c>
      <c r="D10" s="430"/>
      <c r="E10" s="431">
        <v>26000</v>
      </c>
    </row>
    <row r="11" spans="2:5" ht="19.5" customHeight="1">
      <c r="B11" s="432" t="s">
        <v>23</v>
      </c>
      <c r="C11" s="657">
        <f t="shared" si="0"/>
        <v>13000</v>
      </c>
      <c r="D11" s="430">
        <v>13000</v>
      </c>
      <c r="E11" s="431"/>
    </row>
    <row r="12" spans="2:5" ht="19.5" customHeight="1">
      <c r="B12" s="432" t="s">
        <v>24</v>
      </c>
      <c r="C12" s="657">
        <f t="shared" si="0"/>
        <v>1500</v>
      </c>
      <c r="D12" s="430">
        <v>1000</v>
      </c>
      <c r="E12" s="431">
        <v>500</v>
      </c>
    </row>
    <row r="13" spans="2:5" ht="19.5" customHeight="1">
      <c r="B13" s="432" t="s">
        <v>25</v>
      </c>
      <c r="C13" s="657">
        <f t="shared" si="0"/>
        <v>0</v>
      </c>
      <c r="D13" s="430"/>
      <c r="E13" s="431"/>
    </row>
    <row r="14" spans="2:5" ht="19.5" customHeight="1">
      <c r="B14" s="432" t="s">
        <v>27</v>
      </c>
      <c r="C14" s="657">
        <f t="shared" si="0"/>
        <v>4500</v>
      </c>
      <c r="D14" s="430">
        <v>3000</v>
      </c>
      <c r="E14" s="431">
        <v>1500</v>
      </c>
    </row>
    <row r="15" spans="2:5" ht="19.5" customHeight="1">
      <c r="B15" s="432" t="s">
        <v>28</v>
      </c>
      <c r="C15" s="657">
        <f t="shared" si="0"/>
        <v>700</v>
      </c>
      <c r="D15" s="430">
        <v>600</v>
      </c>
      <c r="E15" s="431">
        <v>100</v>
      </c>
    </row>
    <row r="16" spans="2:5" ht="19.5" customHeight="1">
      <c r="B16" s="432" t="s">
        <v>29</v>
      </c>
      <c r="C16" s="657">
        <f t="shared" si="0"/>
        <v>3300</v>
      </c>
      <c r="D16" s="430">
        <v>2500</v>
      </c>
      <c r="E16" s="431">
        <v>800</v>
      </c>
    </row>
    <row r="17" spans="2:5" ht="19.5" customHeight="1">
      <c r="B17" s="432" t="s">
        <v>144</v>
      </c>
      <c r="C17" s="657">
        <f t="shared" si="0"/>
        <v>1500</v>
      </c>
      <c r="D17" s="430"/>
      <c r="E17" s="431">
        <v>1500</v>
      </c>
    </row>
    <row r="18" spans="2:5" ht="19.5" customHeight="1">
      <c r="B18" s="432" t="s">
        <v>31</v>
      </c>
      <c r="C18" s="657">
        <f t="shared" si="0"/>
        <v>1000</v>
      </c>
      <c r="D18" s="430">
        <v>1000</v>
      </c>
      <c r="E18" s="431"/>
    </row>
    <row r="19" spans="2:5" ht="19.5" customHeight="1">
      <c r="B19" s="432" t="s">
        <v>30</v>
      </c>
      <c r="C19" s="657">
        <f t="shared" si="0"/>
        <v>1000</v>
      </c>
      <c r="D19" s="430">
        <v>1000</v>
      </c>
      <c r="E19" s="431"/>
    </row>
    <row r="20" spans="2:5" ht="19.5" customHeight="1">
      <c r="B20" s="432" t="s">
        <v>32</v>
      </c>
      <c r="C20" s="657">
        <f t="shared" si="0"/>
        <v>12400</v>
      </c>
      <c r="D20" s="430">
        <v>7400</v>
      </c>
      <c r="E20" s="431">
        <v>5000</v>
      </c>
    </row>
    <row r="21" spans="2:5" ht="19.5" customHeight="1">
      <c r="B21" s="433" t="s">
        <v>33</v>
      </c>
      <c r="C21" s="657">
        <f t="shared" si="0"/>
        <v>5000</v>
      </c>
      <c r="D21" s="430">
        <v>4500</v>
      </c>
      <c r="E21" s="431">
        <v>500</v>
      </c>
    </row>
    <row r="22" spans="2:5" ht="19.5" customHeight="1">
      <c r="B22" s="432" t="s">
        <v>47</v>
      </c>
      <c r="C22" s="657">
        <f t="shared" si="0"/>
        <v>2500</v>
      </c>
      <c r="D22" s="430">
        <v>1500</v>
      </c>
      <c r="E22" s="431">
        <v>1000</v>
      </c>
    </row>
    <row r="23" spans="2:5" ht="19.5" customHeight="1">
      <c r="B23" s="432" t="s">
        <v>35</v>
      </c>
      <c r="C23" s="657">
        <f t="shared" si="0"/>
        <v>3721</v>
      </c>
      <c r="D23" s="430">
        <v>2500</v>
      </c>
      <c r="E23" s="431">
        <v>1221</v>
      </c>
    </row>
    <row r="24" spans="2:5" ht="19.5" customHeight="1" thickBot="1">
      <c r="B24" s="434" t="s">
        <v>36</v>
      </c>
      <c r="C24" s="658">
        <f t="shared" si="0"/>
        <v>2000</v>
      </c>
      <c r="D24" s="435">
        <v>1000</v>
      </c>
      <c r="E24" s="436">
        <v>1000</v>
      </c>
    </row>
    <row r="25" spans="2:5" ht="30.75" customHeight="1" thickBot="1">
      <c r="B25" s="437" t="s">
        <v>40</v>
      </c>
      <c r="C25" s="659">
        <f t="shared" si="0"/>
        <v>78621</v>
      </c>
      <c r="D25" s="444">
        <f>SUM(D9:D24)</f>
        <v>39450</v>
      </c>
      <c r="E25" s="445">
        <f>SUM(E9:E24)</f>
        <v>39171</v>
      </c>
    </row>
    <row r="26" spans="2:5" ht="19.5" customHeight="1">
      <c r="B26" s="428" t="s">
        <v>48</v>
      </c>
      <c r="C26" s="429">
        <f>'приложение 2'!G15</f>
        <v>1060</v>
      </c>
      <c r="D26" s="438"/>
      <c r="E26" s="439"/>
    </row>
    <row r="27" spans="2:5" ht="32.25" customHeight="1" thickBot="1">
      <c r="B27" s="440" t="s">
        <v>49</v>
      </c>
      <c r="C27" s="441">
        <f>'приложение 1'!I12</f>
        <v>79681.14828000001</v>
      </c>
      <c r="D27" s="442"/>
      <c r="E27" s="443"/>
    </row>
    <row r="28" spans="2:4" ht="20.25" customHeight="1" hidden="1">
      <c r="B28" s="478"/>
      <c r="C28" s="240">
        <f>C27-C26</f>
        <v>78621.14828000001</v>
      </c>
      <c r="D28" s="240">
        <f>C28-C25</f>
        <v>0.14828000000852626</v>
      </c>
    </row>
    <row r="29" spans="2:8" ht="15">
      <c r="B29" s="259"/>
      <c r="F29" s="27"/>
      <c r="G29" s="27"/>
      <c r="H29" s="27"/>
    </row>
    <row r="30" spans="6:8" ht="15">
      <c r="F30" s="27"/>
      <c r="G30" s="27"/>
      <c r="H30" s="27"/>
    </row>
    <row r="31" spans="6:8" ht="39" customHeight="1">
      <c r="F31" s="27"/>
      <c r="G31" s="27"/>
      <c r="H31" s="27"/>
    </row>
    <row r="32" spans="6:8" ht="15">
      <c r="F32" s="27"/>
      <c r="G32" s="27"/>
      <c r="H32" s="27"/>
    </row>
    <row r="33" spans="6:8" ht="15">
      <c r="F33" s="27"/>
      <c r="G33" s="27"/>
      <c r="H33" s="27"/>
    </row>
    <row r="34" spans="2:8" ht="15">
      <c r="B34" s="834"/>
      <c r="C34" s="261"/>
      <c r="D34" s="261"/>
      <c r="E34" s="261"/>
      <c r="F34" s="27"/>
      <c r="G34" s="27"/>
      <c r="H34" s="27"/>
    </row>
    <row r="35" spans="2:8" ht="15">
      <c r="B35" s="834"/>
      <c r="C35" s="261"/>
      <c r="D35" s="261"/>
      <c r="E35" s="261"/>
      <c r="F35" s="27"/>
      <c r="G35" s="27"/>
      <c r="H35" s="27"/>
    </row>
    <row r="36" spans="2:8" ht="15">
      <c r="B36" s="262"/>
      <c r="C36" s="261"/>
      <c r="D36" s="261"/>
      <c r="E36" s="261"/>
      <c r="F36" s="27"/>
      <c r="G36" s="27"/>
      <c r="H36" s="27"/>
    </row>
    <row r="37" spans="2:8" ht="15">
      <c r="B37" s="262"/>
      <c r="C37" s="261"/>
      <c r="D37" s="261"/>
      <c r="E37" s="261"/>
      <c r="F37" s="27"/>
      <c r="G37" s="27"/>
      <c r="H37" s="27"/>
    </row>
    <row r="38" spans="2:7" ht="15">
      <c r="B38" s="262"/>
      <c r="C38" s="261"/>
      <c r="D38" s="261"/>
      <c r="E38" s="261"/>
      <c r="G38" s="27"/>
    </row>
    <row r="39" spans="2:7" ht="15">
      <c r="B39" s="262"/>
      <c r="C39" s="261"/>
      <c r="D39" s="261"/>
      <c r="E39" s="261"/>
      <c r="G39" s="27"/>
    </row>
    <row r="40" spans="2:7" ht="15">
      <c r="B40" s="262"/>
      <c r="C40" s="261"/>
      <c r="D40" s="261"/>
      <c r="E40" s="261"/>
      <c r="G40" s="27"/>
    </row>
    <row r="41" spans="2:7" ht="15">
      <c r="B41" s="262"/>
      <c r="C41" s="261"/>
      <c r="D41" s="261"/>
      <c r="E41" s="261"/>
      <c r="G41" s="27"/>
    </row>
    <row r="42" spans="2:7" ht="15">
      <c r="B42" s="262"/>
      <c r="C42" s="261"/>
      <c r="D42" s="261"/>
      <c r="E42" s="261"/>
      <c r="G42" s="27"/>
    </row>
    <row r="43" spans="2:7" ht="15">
      <c r="B43" s="262"/>
      <c r="C43" s="261"/>
      <c r="D43" s="261"/>
      <c r="E43" s="261"/>
      <c r="G43" s="27"/>
    </row>
    <row r="44" spans="2:7" ht="15">
      <c r="B44" s="262"/>
      <c r="C44" s="261"/>
      <c r="D44" s="261"/>
      <c r="E44" s="261"/>
      <c r="G44" s="27"/>
    </row>
    <row r="45" spans="2:7" ht="15">
      <c r="B45" s="262"/>
      <c r="C45" s="261"/>
      <c r="D45" s="261"/>
      <c r="E45" s="261"/>
      <c r="G45" s="27"/>
    </row>
    <row r="46" spans="2:7" ht="15">
      <c r="B46" s="262"/>
      <c r="C46" s="261"/>
      <c r="D46" s="261"/>
      <c r="E46" s="261"/>
      <c r="G46" s="27"/>
    </row>
    <row r="47" spans="2:7" ht="15">
      <c r="B47" s="263"/>
      <c r="C47" s="261"/>
      <c r="D47" s="261"/>
      <c r="E47" s="261"/>
      <c r="G47" s="27"/>
    </row>
    <row r="48" spans="2:7" ht="15">
      <c r="B48" s="262"/>
      <c r="C48" s="261"/>
      <c r="D48" s="261"/>
      <c r="E48" s="261"/>
      <c r="G48" s="27"/>
    </row>
    <row r="49" spans="2:7" ht="15">
      <c r="B49" s="262"/>
      <c r="C49" s="261"/>
      <c r="D49" s="261"/>
      <c r="E49" s="261"/>
      <c r="G49" s="27"/>
    </row>
    <row r="50" spans="2:7" ht="15">
      <c r="B50" s="262"/>
      <c r="C50" s="261"/>
      <c r="D50" s="261"/>
      <c r="E50" s="261"/>
      <c r="G50" s="27"/>
    </row>
    <row r="51" spans="2:7" ht="15">
      <c r="B51" s="242"/>
      <c r="C51" s="261"/>
      <c r="D51" s="261"/>
      <c r="E51" s="261"/>
      <c r="G51" s="27"/>
    </row>
    <row r="52" spans="2:7" ht="15">
      <c r="B52" s="242"/>
      <c r="C52" s="261"/>
      <c r="D52" s="261"/>
      <c r="E52" s="261"/>
      <c r="G52" s="27"/>
    </row>
    <row r="53" spans="2:7" ht="15">
      <c r="B53" s="242"/>
      <c r="C53" s="261"/>
      <c r="D53" s="261"/>
      <c r="E53" s="261"/>
      <c r="G53" s="27"/>
    </row>
    <row r="54" spans="2:5" ht="15">
      <c r="B54" s="242"/>
      <c r="C54" s="265"/>
      <c r="D54" s="265"/>
      <c r="E54" s="265"/>
    </row>
    <row r="55" spans="2:5" ht="15">
      <c r="B55" s="242"/>
      <c r="C55" s="265"/>
      <c r="D55" s="265"/>
      <c r="E55" s="265"/>
    </row>
    <row r="56" spans="2:5" ht="15">
      <c r="B56" s="242"/>
      <c r="C56" s="265"/>
      <c r="D56" s="265"/>
      <c r="E56" s="265"/>
    </row>
    <row r="57" spans="2:5" ht="15" customHeight="1" hidden="1">
      <c r="B57" s="242"/>
      <c r="C57" s="265"/>
      <c r="D57" s="265"/>
      <c r="E57" s="265"/>
    </row>
    <row r="58" spans="2:5" ht="15.75" customHeight="1" hidden="1" thickBot="1">
      <c r="B58" s="834"/>
      <c r="C58" s="266"/>
      <c r="D58" s="266"/>
      <c r="E58" s="266"/>
    </row>
    <row r="59" spans="2:5" ht="15" customHeight="1" hidden="1">
      <c r="B59" s="834"/>
      <c r="C59" s="266"/>
      <c r="D59" s="266"/>
      <c r="E59" s="266"/>
    </row>
    <row r="60" spans="2:5" ht="65.25" customHeight="1" hidden="1">
      <c r="B60" s="262"/>
      <c r="C60" s="264"/>
      <c r="D60" s="264"/>
      <c r="E60" s="264"/>
    </row>
    <row r="61" spans="2:5" ht="15" customHeight="1" hidden="1" thickBot="1">
      <c r="B61" s="262"/>
      <c r="C61" s="264"/>
      <c r="D61" s="264"/>
      <c r="E61" s="264"/>
    </row>
    <row r="62" spans="2:5" ht="15.75" customHeight="1" hidden="1" thickBot="1">
      <c r="B62" s="262"/>
      <c r="C62" s="264"/>
      <c r="D62" s="264"/>
      <c r="E62" s="264"/>
    </row>
    <row r="63" spans="2:5" ht="15" customHeight="1" hidden="1">
      <c r="B63" s="262"/>
      <c r="C63" s="264"/>
      <c r="D63" s="264"/>
      <c r="E63" s="264"/>
    </row>
    <row r="64" spans="2:5" ht="15" customHeight="1" hidden="1">
      <c r="B64" s="262"/>
      <c r="C64" s="264"/>
      <c r="D64" s="264"/>
      <c r="E64" s="264"/>
    </row>
    <row r="65" spans="2:5" ht="15" customHeight="1" hidden="1">
      <c r="B65" s="262"/>
      <c r="C65" s="264"/>
      <c r="D65" s="264"/>
      <c r="E65" s="264"/>
    </row>
    <row r="66" spans="2:5" ht="15" customHeight="1" hidden="1">
      <c r="B66" s="262"/>
      <c r="C66" s="264"/>
      <c r="D66" s="264"/>
      <c r="E66" s="264"/>
    </row>
    <row r="67" spans="2:5" ht="15" customHeight="1" hidden="1">
      <c r="B67" s="262"/>
      <c r="C67" s="264"/>
      <c r="D67" s="264"/>
      <c r="E67" s="264"/>
    </row>
    <row r="68" spans="2:5" ht="15" customHeight="1" hidden="1">
      <c r="B68" s="262"/>
      <c r="C68" s="264"/>
      <c r="D68" s="264"/>
      <c r="E68" s="264"/>
    </row>
    <row r="69" spans="2:7" ht="15" customHeight="1" hidden="1">
      <c r="B69" s="262"/>
      <c r="C69" s="264"/>
      <c r="D69" s="264"/>
      <c r="E69" s="264"/>
      <c r="G69" s="27"/>
    </row>
    <row r="70" spans="2:7" ht="15" customHeight="1" hidden="1">
      <c r="B70" s="262"/>
      <c r="C70" s="264"/>
      <c r="D70" s="264"/>
      <c r="E70" s="264"/>
      <c r="G70" s="27"/>
    </row>
    <row r="71" spans="2:7" ht="15" customHeight="1" hidden="1">
      <c r="B71" s="262"/>
      <c r="C71" s="264"/>
      <c r="D71" s="264"/>
      <c r="E71" s="264"/>
      <c r="G71" s="27"/>
    </row>
    <row r="72" spans="2:7" ht="15" customHeight="1" hidden="1">
      <c r="B72" s="263"/>
      <c r="C72" s="264"/>
      <c r="D72" s="264"/>
      <c r="E72" s="264"/>
      <c r="G72" s="27"/>
    </row>
    <row r="73" spans="2:7" ht="15" customHeight="1" hidden="1">
      <c r="B73" s="262"/>
      <c r="C73" s="264"/>
      <c r="D73" s="264"/>
      <c r="E73" s="264"/>
      <c r="G73" s="27"/>
    </row>
    <row r="74" spans="2:7" ht="15" customHeight="1" hidden="1">
      <c r="B74" s="262"/>
      <c r="C74" s="264"/>
      <c r="D74" s="264"/>
      <c r="E74" s="264"/>
      <c r="G74" s="27"/>
    </row>
    <row r="75" spans="2:7" ht="15" customHeight="1" hidden="1">
      <c r="B75" s="262"/>
      <c r="C75" s="264"/>
      <c r="D75" s="264"/>
      <c r="E75" s="264"/>
      <c r="G75" s="27"/>
    </row>
    <row r="76" spans="2:7" ht="15" customHeight="1" hidden="1">
      <c r="B76" s="260"/>
      <c r="C76" s="268"/>
      <c r="D76" s="268"/>
      <c r="E76" s="268"/>
      <c r="G76" s="27"/>
    </row>
    <row r="77" spans="2:7" ht="15" customHeight="1" hidden="1">
      <c r="B77" s="267"/>
      <c r="C77" s="264"/>
      <c r="D77" s="264"/>
      <c r="E77" s="264"/>
      <c r="G77" s="27"/>
    </row>
    <row r="78" spans="2:7" ht="15" customHeight="1" hidden="1">
      <c r="B78" s="267"/>
      <c r="C78" s="264"/>
      <c r="D78" s="264"/>
      <c r="E78" s="264"/>
      <c r="G78" s="27"/>
    </row>
    <row r="79" spans="2:7" ht="15" customHeight="1" hidden="1">
      <c r="B79" s="242"/>
      <c r="C79" s="261"/>
      <c r="D79" s="261"/>
      <c r="E79" s="261"/>
      <c r="G79" s="27"/>
    </row>
    <row r="80" spans="2:7" ht="15" customHeight="1" hidden="1">
      <c r="B80" s="242"/>
      <c r="C80" s="261"/>
      <c r="D80" s="261"/>
      <c r="E80" s="261"/>
      <c r="G80" s="27"/>
    </row>
    <row r="81" spans="2:7" ht="15" customHeight="1" hidden="1">
      <c r="B81" s="242"/>
      <c r="C81" s="261"/>
      <c r="D81" s="261"/>
      <c r="E81" s="261"/>
      <c r="G81" s="27"/>
    </row>
    <row r="82" spans="2:7" ht="15" customHeight="1" hidden="1">
      <c r="B82" s="242"/>
      <c r="C82" s="261"/>
      <c r="D82" s="261"/>
      <c r="E82" s="261"/>
      <c r="G82" s="27"/>
    </row>
    <row r="83" spans="2:7" ht="15" customHeight="1" hidden="1">
      <c r="B83" s="242"/>
      <c r="C83" s="261"/>
      <c r="D83" s="261"/>
      <c r="E83" s="261"/>
      <c r="G83" s="27"/>
    </row>
    <row r="84" spans="2:7" ht="15.75" customHeight="1" hidden="1" thickBot="1">
      <c r="B84" s="242"/>
      <c r="C84" s="261"/>
      <c r="D84" s="261"/>
      <c r="E84" s="261"/>
      <c r="G84" s="27"/>
    </row>
    <row r="85" spans="2:7" ht="15.75" customHeight="1" hidden="1" thickBot="1">
      <c r="B85" s="242"/>
      <c r="C85" s="261"/>
      <c r="D85" s="261"/>
      <c r="E85" s="261"/>
      <c r="G85" s="27"/>
    </row>
    <row r="86" spans="2:5" ht="15" customHeight="1" hidden="1">
      <c r="B86" s="242"/>
      <c r="C86" s="261"/>
      <c r="D86" s="261"/>
      <c r="E86" s="261"/>
    </row>
    <row r="87" spans="2:5" ht="15" customHeight="1" hidden="1">
      <c r="B87" s="242"/>
      <c r="C87" s="261"/>
      <c r="D87" s="261"/>
      <c r="E87" s="261"/>
    </row>
    <row r="88" spans="2:5" ht="15" customHeight="1" hidden="1">
      <c r="B88" s="242"/>
      <c r="C88" s="261"/>
      <c r="D88" s="261"/>
      <c r="E88" s="261"/>
    </row>
    <row r="89" spans="2:5" ht="15.75" customHeight="1" hidden="1" thickBot="1">
      <c r="B89" s="242"/>
      <c r="C89" s="261"/>
      <c r="D89" s="261"/>
      <c r="E89" s="261"/>
    </row>
    <row r="90" spans="2:5" ht="15" customHeight="1" hidden="1">
      <c r="B90" s="242"/>
      <c r="C90" s="261"/>
      <c r="D90" s="261"/>
      <c r="E90" s="261"/>
    </row>
    <row r="91" spans="2:5" ht="65.25" customHeight="1" hidden="1">
      <c r="B91" s="242"/>
      <c r="C91" s="261"/>
      <c r="D91" s="261"/>
      <c r="E91" s="261"/>
    </row>
    <row r="92" spans="2:5" ht="15" customHeight="1" hidden="1" thickBot="1">
      <c r="B92" s="242"/>
      <c r="C92" s="261"/>
      <c r="D92" s="261"/>
      <c r="E92" s="261"/>
    </row>
    <row r="93" spans="2:5" ht="15.75" customHeight="1" hidden="1" thickBot="1">
      <c r="B93" s="242"/>
      <c r="C93" s="261"/>
      <c r="D93" s="261"/>
      <c r="E93" s="261"/>
    </row>
    <row r="94" spans="2:5" ht="15.75" customHeight="1" hidden="1" thickBot="1">
      <c r="B94" s="242"/>
      <c r="C94" s="261"/>
      <c r="D94" s="261"/>
      <c r="E94" s="261"/>
    </row>
    <row r="95" spans="2:5" ht="15.75" customHeight="1" hidden="1" thickBot="1">
      <c r="B95" s="242"/>
      <c r="C95" s="261"/>
      <c r="D95" s="261"/>
      <c r="E95" s="261"/>
    </row>
    <row r="96" spans="2:5" ht="15" customHeight="1" hidden="1">
      <c r="B96" s="242"/>
      <c r="C96" s="261"/>
      <c r="D96" s="261"/>
      <c r="E96" s="261"/>
    </row>
    <row r="97" spans="2:5" ht="15" customHeight="1" hidden="1">
      <c r="B97" s="242"/>
      <c r="C97" s="261"/>
      <c r="D97" s="261"/>
      <c r="E97" s="261"/>
    </row>
    <row r="98" spans="2:5" ht="15" customHeight="1" hidden="1">
      <c r="B98" s="242"/>
      <c r="C98" s="261"/>
      <c r="D98" s="261"/>
      <c r="E98" s="261"/>
    </row>
    <row r="99" spans="2:5" ht="15.75" customHeight="1" hidden="1" thickBot="1">
      <c r="B99" s="242"/>
      <c r="C99" s="261"/>
      <c r="D99" s="261"/>
      <c r="E99" s="261"/>
    </row>
    <row r="100" spans="2:5" ht="15" customHeight="1" hidden="1">
      <c r="B100" s="242"/>
      <c r="C100" s="261"/>
      <c r="D100" s="261"/>
      <c r="E100" s="261"/>
    </row>
    <row r="101" spans="2:5" ht="65.25" customHeight="1" hidden="1">
      <c r="B101" s="242"/>
      <c r="C101" s="261"/>
      <c r="D101" s="261"/>
      <c r="E101" s="261"/>
    </row>
    <row r="102" spans="2:5" ht="15" customHeight="1" hidden="1" thickBot="1">
      <c r="B102" s="242"/>
      <c r="C102" s="261"/>
      <c r="D102" s="261"/>
      <c r="E102" s="261"/>
    </row>
    <row r="103" spans="2:5" ht="15.75" customHeight="1" hidden="1" thickBot="1">
      <c r="B103" s="242"/>
      <c r="C103" s="261"/>
      <c r="D103" s="261"/>
      <c r="E103" s="261"/>
    </row>
    <row r="104" spans="2:5" ht="15.75" customHeight="1" hidden="1" thickBot="1">
      <c r="B104" s="242"/>
      <c r="C104" s="261"/>
      <c r="D104" s="261"/>
      <c r="E104" s="261"/>
    </row>
    <row r="105" spans="2:5" ht="15.75" customHeight="1" hidden="1" thickBot="1">
      <c r="B105" s="242"/>
      <c r="C105" s="261"/>
      <c r="D105" s="261"/>
      <c r="E105" s="261"/>
    </row>
    <row r="106" spans="2:5" ht="15" customHeight="1" hidden="1">
      <c r="B106" s="242"/>
      <c r="C106" s="261"/>
      <c r="D106" s="261"/>
      <c r="E106" s="261"/>
    </row>
    <row r="107" spans="2:5" ht="15" customHeight="1" hidden="1">
      <c r="B107" s="242"/>
      <c r="C107" s="261"/>
      <c r="D107" s="261"/>
      <c r="E107" s="261"/>
    </row>
    <row r="108" spans="2:5" ht="15" customHeight="1" hidden="1">
      <c r="B108" s="242"/>
      <c r="C108" s="261"/>
      <c r="D108" s="261"/>
      <c r="E108" s="261"/>
    </row>
    <row r="109" spans="2:5" ht="15.75" customHeight="1" hidden="1" thickBot="1">
      <c r="B109" s="242"/>
      <c r="C109" s="261"/>
      <c r="D109" s="261"/>
      <c r="E109" s="261"/>
    </row>
    <row r="110" spans="2:5" ht="15" customHeight="1" hidden="1">
      <c r="B110" s="242"/>
      <c r="C110" s="261"/>
      <c r="D110" s="261"/>
      <c r="E110" s="261"/>
    </row>
    <row r="111" spans="2:5" ht="65.25" customHeight="1" hidden="1">
      <c r="B111" s="242"/>
      <c r="C111" s="261"/>
      <c r="D111" s="261"/>
      <c r="E111" s="261"/>
    </row>
    <row r="112" spans="2:5" ht="15" customHeight="1" hidden="1" thickBot="1">
      <c r="B112" s="242"/>
      <c r="C112" s="261"/>
      <c r="D112" s="261"/>
      <c r="E112" s="261"/>
    </row>
    <row r="113" spans="2:5" ht="15.75" customHeight="1" hidden="1" thickBot="1">
      <c r="B113" s="242"/>
      <c r="C113" s="261"/>
      <c r="D113" s="261"/>
      <c r="E113" s="261"/>
    </row>
    <row r="114" spans="2:5" ht="15.75" customHeight="1" hidden="1" thickBot="1">
      <c r="B114" s="242"/>
      <c r="C114" s="261"/>
      <c r="D114" s="261"/>
      <c r="E114" s="261"/>
    </row>
    <row r="115" spans="2:5" ht="15.75" customHeight="1" hidden="1" thickBot="1">
      <c r="B115" s="242"/>
      <c r="C115" s="261"/>
      <c r="D115" s="261"/>
      <c r="E115" s="261"/>
    </row>
    <row r="116" spans="2:5" ht="15" customHeight="1" hidden="1">
      <c r="B116" s="242"/>
      <c r="C116" s="261"/>
      <c r="D116" s="261"/>
      <c r="E116" s="261"/>
    </row>
    <row r="117" spans="2:5" ht="15" customHeight="1" hidden="1">
      <c r="B117" s="242"/>
      <c r="C117" s="261"/>
      <c r="D117" s="261"/>
      <c r="E117" s="261"/>
    </row>
    <row r="118" spans="2:5" ht="15.75" customHeight="1" hidden="1" thickBot="1">
      <c r="B118" s="242"/>
      <c r="C118" s="261"/>
      <c r="D118" s="261"/>
      <c r="E118" s="261"/>
    </row>
    <row r="119" spans="2:5" ht="15" customHeight="1" hidden="1">
      <c r="B119" s="242"/>
      <c r="C119" s="261"/>
      <c r="D119" s="261"/>
      <c r="E119" s="261"/>
    </row>
    <row r="120" spans="2:5" ht="65.25" customHeight="1" hidden="1">
      <c r="B120" s="242"/>
      <c r="C120" s="261"/>
      <c r="D120" s="261"/>
      <c r="E120" s="261"/>
    </row>
    <row r="121" spans="2:5" ht="15" customHeight="1" hidden="1" thickBot="1">
      <c r="B121" s="242"/>
      <c r="C121" s="261"/>
      <c r="D121" s="261"/>
      <c r="E121" s="261"/>
    </row>
    <row r="122" spans="2:5" ht="15.75" customHeight="1" hidden="1" thickBot="1">
      <c r="B122" s="242"/>
      <c r="C122" s="261"/>
      <c r="D122" s="261"/>
      <c r="E122" s="261"/>
    </row>
    <row r="123" spans="2:5" ht="15" customHeight="1" hidden="1">
      <c r="B123" s="242"/>
      <c r="C123" s="261"/>
      <c r="D123" s="261"/>
      <c r="E123" s="261"/>
    </row>
    <row r="124" spans="2:5" ht="15" customHeight="1" hidden="1">
      <c r="B124" s="242"/>
      <c r="C124" s="261"/>
      <c r="D124" s="261"/>
      <c r="E124" s="261"/>
    </row>
    <row r="125" spans="2:5" ht="15" customHeight="1" hidden="1">
      <c r="B125" s="242"/>
      <c r="C125" s="261"/>
      <c r="D125" s="261"/>
      <c r="E125" s="261"/>
    </row>
    <row r="126" spans="2:5" ht="15" customHeight="1" hidden="1">
      <c r="B126" s="242"/>
      <c r="C126" s="261"/>
      <c r="D126" s="261"/>
      <c r="E126" s="261"/>
    </row>
    <row r="127" spans="2:5" ht="15.75" customHeight="1" hidden="1" thickBot="1">
      <c r="B127" s="242"/>
      <c r="C127" s="261"/>
      <c r="D127" s="261"/>
      <c r="E127" s="261"/>
    </row>
    <row r="128" spans="2:5" ht="15.75" customHeight="1" hidden="1" thickBot="1">
      <c r="B128" s="242"/>
      <c r="C128" s="261"/>
      <c r="D128" s="261"/>
      <c r="E128" s="261"/>
    </row>
    <row r="129" spans="2:5" ht="15" customHeight="1" hidden="1">
      <c r="B129" s="242"/>
      <c r="C129" s="261"/>
      <c r="D129" s="261"/>
      <c r="E129" s="261"/>
    </row>
    <row r="130" spans="2:5" ht="15" customHeight="1" hidden="1">
      <c r="B130" s="242"/>
      <c r="C130" s="261"/>
      <c r="D130" s="261"/>
      <c r="E130" s="261"/>
    </row>
    <row r="131" spans="2:5" ht="15.75" customHeight="1" hidden="1" thickBot="1">
      <c r="B131" s="242"/>
      <c r="C131" s="261"/>
      <c r="D131" s="261"/>
      <c r="E131" s="261"/>
    </row>
    <row r="132" spans="2:5" ht="15" customHeight="1" hidden="1">
      <c r="B132" s="242"/>
      <c r="C132" s="261"/>
      <c r="D132" s="261"/>
      <c r="E132" s="261"/>
    </row>
    <row r="133" spans="2:5" ht="65.25" customHeight="1" hidden="1">
      <c r="B133" s="242"/>
      <c r="C133" s="261"/>
      <c r="D133" s="261"/>
      <c r="E133" s="261"/>
    </row>
    <row r="134" spans="2:5" ht="15" customHeight="1" hidden="1" thickBot="1">
      <c r="B134" s="242"/>
      <c r="C134" s="261"/>
      <c r="D134" s="261"/>
      <c r="E134" s="261"/>
    </row>
    <row r="135" spans="2:5" ht="15.75" customHeight="1" hidden="1" thickBot="1">
      <c r="B135" s="242"/>
      <c r="C135" s="261"/>
      <c r="D135" s="261"/>
      <c r="E135" s="261"/>
    </row>
    <row r="136" spans="2:5" ht="15.75" customHeight="1" hidden="1" thickBot="1">
      <c r="B136" s="242"/>
      <c r="C136" s="261"/>
      <c r="D136" s="261"/>
      <c r="E136" s="261"/>
    </row>
    <row r="137" spans="2:5" ht="15.75" customHeight="1" hidden="1" thickBot="1">
      <c r="B137" s="242"/>
      <c r="C137" s="261"/>
      <c r="D137" s="261"/>
      <c r="E137" s="261"/>
    </row>
    <row r="138" spans="2:5" ht="15" customHeight="1" hidden="1">
      <c r="B138" s="242"/>
      <c r="C138" s="261"/>
      <c r="D138" s="261"/>
      <c r="E138" s="261"/>
    </row>
    <row r="139" spans="2:5" ht="15" customHeight="1" hidden="1">
      <c r="B139" s="242"/>
      <c r="C139" s="261"/>
      <c r="D139" s="261"/>
      <c r="E139" s="261"/>
    </row>
    <row r="140" spans="2:5" ht="15.75" customHeight="1" hidden="1" thickBot="1">
      <c r="B140" s="242"/>
      <c r="C140" s="261"/>
      <c r="D140" s="261"/>
      <c r="E140" s="261"/>
    </row>
    <row r="141" spans="2:5" ht="15" customHeight="1" hidden="1">
      <c r="B141" s="242"/>
      <c r="C141" s="261"/>
      <c r="D141" s="261"/>
      <c r="E141" s="261"/>
    </row>
    <row r="142" spans="2:5" ht="65.25" customHeight="1" hidden="1">
      <c r="B142" s="242"/>
      <c r="C142" s="261"/>
      <c r="D142" s="261"/>
      <c r="E142" s="261"/>
    </row>
    <row r="143" spans="2:5" ht="15" customHeight="1" hidden="1" thickBot="1">
      <c r="B143" s="242"/>
      <c r="C143" s="261"/>
      <c r="D143" s="261"/>
      <c r="E143" s="261"/>
    </row>
    <row r="144" spans="2:5" ht="15.75" customHeight="1" hidden="1" thickBot="1">
      <c r="B144" s="242"/>
      <c r="C144" s="261"/>
      <c r="D144" s="261"/>
      <c r="E144" s="261"/>
    </row>
    <row r="145" spans="2:5" ht="15" customHeight="1" hidden="1">
      <c r="B145" s="242"/>
      <c r="C145" s="261"/>
      <c r="D145" s="261"/>
      <c r="E145" s="261"/>
    </row>
    <row r="146" spans="2:5" ht="15.75" customHeight="1" hidden="1" thickBot="1">
      <c r="B146" s="242"/>
      <c r="C146" s="261"/>
      <c r="D146" s="261"/>
      <c r="E146" s="261"/>
    </row>
    <row r="147" spans="2:5" ht="15.75" customHeight="1" hidden="1" thickBot="1">
      <c r="B147" s="242"/>
      <c r="C147" s="261"/>
      <c r="D147" s="261"/>
      <c r="E147" s="261"/>
    </row>
    <row r="148" spans="2:5" ht="15" customHeight="1" hidden="1">
      <c r="B148" s="242"/>
      <c r="C148" s="261"/>
      <c r="D148" s="261"/>
      <c r="E148" s="261"/>
    </row>
    <row r="149" spans="2:5" ht="15">
      <c r="B149" s="242"/>
      <c r="C149" s="261"/>
      <c r="D149" s="261"/>
      <c r="E149" s="261"/>
    </row>
    <row r="150" spans="2:5" ht="15">
      <c r="B150" s="242"/>
      <c r="C150" s="261"/>
      <c r="D150" s="261"/>
      <c r="E150" s="261"/>
    </row>
    <row r="151" spans="2:5" ht="15">
      <c r="B151" s="242"/>
      <c r="C151" s="261"/>
      <c r="D151" s="261"/>
      <c r="E151" s="261"/>
    </row>
    <row r="152" spans="2:5" ht="15">
      <c r="B152" s="242"/>
      <c r="C152" s="261"/>
      <c r="D152" s="261"/>
      <c r="E152" s="261"/>
    </row>
    <row r="153" spans="2:5" ht="15">
      <c r="B153" s="242"/>
      <c r="C153" s="261"/>
      <c r="D153" s="261"/>
      <c r="E153" s="261"/>
    </row>
    <row r="154" spans="2:5" ht="15">
      <c r="B154" s="242"/>
      <c r="C154" s="261"/>
      <c r="D154" s="261"/>
      <c r="E154" s="261"/>
    </row>
    <row r="155" spans="2:5" ht="15">
      <c r="B155" s="242"/>
      <c r="C155" s="261"/>
      <c r="D155" s="261"/>
      <c r="E155" s="261"/>
    </row>
    <row r="156" spans="2:5" ht="15">
      <c r="B156" s="242"/>
      <c r="C156" s="261"/>
      <c r="D156" s="261"/>
      <c r="E156" s="261"/>
    </row>
    <row r="157" spans="2:5" ht="15">
      <c r="B157" s="242"/>
      <c r="C157" s="261"/>
      <c r="D157" s="261"/>
      <c r="E157" s="261"/>
    </row>
  </sheetData>
  <sheetProtection/>
  <mergeCells count="9">
    <mergeCell ref="B3:E3"/>
    <mergeCell ref="D1:E1"/>
    <mergeCell ref="B34:B35"/>
    <mergeCell ref="B58:B59"/>
    <mergeCell ref="B5:B7"/>
    <mergeCell ref="C5:E5"/>
    <mergeCell ref="C6:C7"/>
    <mergeCell ref="C4:E4"/>
    <mergeCell ref="D6:E6"/>
  </mergeCells>
  <printOptions/>
  <pageMargins left="0.42" right="0.28" top="0.38" bottom="0.27" header="0.31496062992125984" footer="0.31496062992125984"/>
  <pageSetup fitToHeight="0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I46"/>
  <sheetViews>
    <sheetView tabSelected="1" view="pageBreakPreview" zoomScale="70" zoomScaleSheetLayoutView="70" zoomScalePageLayoutView="0" workbookViewId="0" topLeftCell="A13">
      <selection activeCell="E25" sqref="E25"/>
    </sheetView>
  </sheetViews>
  <sheetFormatPr defaultColWidth="9.140625" defaultRowHeight="15"/>
  <cols>
    <col min="1" max="1" width="16.140625" style="20" customWidth="1"/>
    <col min="2" max="2" width="67.421875" style="0" customWidth="1"/>
    <col min="3" max="3" width="19.28125" style="240" customWidth="1"/>
    <col min="4" max="4" width="16.7109375" style="240" customWidth="1"/>
    <col min="5" max="5" width="17.00390625" style="240" customWidth="1"/>
    <col min="6" max="6" width="17.8515625" style="270" customWidth="1"/>
    <col min="7" max="7" width="16.28125" style="20" customWidth="1"/>
    <col min="8" max="8" width="16.421875" style="20" customWidth="1"/>
    <col min="9" max="9" width="18.140625" style="20" customWidth="1"/>
    <col min="10" max="16384" width="9.140625" style="20" customWidth="1"/>
  </cols>
  <sheetData>
    <row r="1" spans="6:9" ht="62.25" customHeight="1">
      <c r="F1" s="842" t="s">
        <v>293</v>
      </c>
      <c r="G1" s="842"/>
      <c r="H1" s="842"/>
      <c r="I1" s="842"/>
    </row>
    <row r="2" spans="2:6" ht="15">
      <c r="B2" s="165"/>
      <c r="C2" s="261"/>
      <c r="D2" s="261"/>
      <c r="E2" s="261"/>
      <c r="F2" s="231"/>
    </row>
    <row r="3" spans="2:9" ht="26.25" customHeight="1" thickBot="1">
      <c r="B3" s="855" t="s">
        <v>275</v>
      </c>
      <c r="C3" s="855"/>
      <c r="D3" s="855"/>
      <c r="E3" s="855"/>
      <c r="F3" s="855"/>
      <c r="G3" s="855"/>
      <c r="H3" s="855"/>
      <c r="I3" s="855"/>
    </row>
    <row r="4" spans="2:9" ht="48" customHeight="1">
      <c r="B4" s="847"/>
      <c r="C4" s="845" t="s">
        <v>273</v>
      </c>
      <c r="D4" s="845"/>
      <c r="E4" s="845"/>
      <c r="F4" s="845"/>
      <c r="G4" s="845"/>
      <c r="H4" s="845"/>
      <c r="I4" s="846"/>
    </row>
    <row r="5" spans="2:9" ht="39" customHeight="1">
      <c r="B5" s="848"/>
      <c r="C5" s="850" t="s">
        <v>243</v>
      </c>
      <c r="D5" s="850"/>
      <c r="E5" s="850"/>
      <c r="F5" s="843" t="s">
        <v>267</v>
      </c>
      <c r="G5" s="850" t="s">
        <v>244</v>
      </c>
      <c r="H5" s="850"/>
      <c r="I5" s="851"/>
    </row>
    <row r="6" spans="2:9" ht="28.5" customHeight="1">
      <c r="B6" s="848"/>
      <c r="C6" s="852" t="s">
        <v>14</v>
      </c>
      <c r="D6" s="852" t="s">
        <v>44</v>
      </c>
      <c r="E6" s="852"/>
      <c r="F6" s="843"/>
      <c r="G6" s="852" t="s">
        <v>14</v>
      </c>
      <c r="H6" s="852" t="s">
        <v>44</v>
      </c>
      <c r="I6" s="854"/>
    </row>
    <row r="7" spans="2:9" ht="31.5" customHeight="1" thickBot="1">
      <c r="B7" s="849"/>
      <c r="C7" s="853"/>
      <c r="D7" s="604" t="s">
        <v>16</v>
      </c>
      <c r="E7" s="604" t="s">
        <v>17</v>
      </c>
      <c r="F7" s="844"/>
      <c r="G7" s="853"/>
      <c r="H7" s="604" t="s">
        <v>16</v>
      </c>
      <c r="I7" s="605" t="s">
        <v>17</v>
      </c>
    </row>
    <row r="8" spans="2:9" ht="24.75" customHeight="1" thickBot="1">
      <c r="B8" s="608" t="s">
        <v>20</v>
      </c>
      <c r="C8" s="425">
        <v>1</v>
      </c>
      <c r="D8" s="425">
        <v>2</v>
      </c>
      <c r="E8" s="425">
        <v>3</v>
      </c>
      <c r="F8" s="609">
        <v>4</v>
      </c>
      <c r="G8" s="610">
        <v>5</v>
      </c>
      <c r="H8" s="610">
        <v>6</v>
      </c>
      <c r="I8" s="611">
        <v>7</v>
      </c>
    </row>
    <row r="9" spans="2:9" ht="19.5" customHeight="1">
      <c r="B9" s="290" t="s">
        <v>60</v>
      </c>
      <c r="C9" s="449">
        <f>D9+E9</f>
        <v>439</v>
      </c>
      <c r="D9" s="447">
        <v>439</v>
      </c>
      <c r="E9" s="448">
        <v>0</v>
      </c>
      <c r="F9" s="606">
        <v>10.8</v>
      </c>
      <c r="G9" s="607">
        <f>H9+I9</f>
        <v>4741.200000000001</v>
      </c>
      <c r="H9" s="607">
        <f>D9*F9</f>
        <v>4741.200000000001</v>
      </c>
      <c r="I9" s="678">
        <f>E9*F9</f>
        <v>0</v>
      </c>
    </row>
    <row r="10" spans="2:9" ht="19.5" customHeight="1">
      <c r="B10" s="306" t="s">
        <v>26</v>
      </c>
      <c r="C10" s="449">
        <f aca="true" t="shared" si="0" ref="C10:C31">D10+E10</f>
        <v>60</v>
      </c>
      <c r="D10" s="451">
        <v>60</v>
      </c>
      <c r="E10" s="452">
        <v>0</v>
      </c>
      <c r="F10" s="597">
        <v>10.8</v>
      </c>
      <c r="G10" s="596">
        <f aca="true" t="shared" si="1" ref="G10:G31">H10+I10</f>
        <v>648</v>
      </c>
      <c r="H10" s="596">
        <f aca="true" t="shared" si="2" ref="H10:H30">D10*F10</f>
        <v>648</v>
      </c>
      <c r="I10" s="679">
        <f aca="true" t="shared" si="3" ref="I10:I29">E10*F10</f>
        <v>0</v>
      </c>
    </row>
    <row r="11" spans="2:9" ht="19.5" customHeight="1">
      <c r="B11" s="306" t="s">
        <v>24</v>
      </c>
      <c r="C11" s="449">
        <f t="shared" si="0"/>
        <v>0</v>
      </c>
      <c r="D11" s="451">
        <v>0</v>
      </c>
      <c r="E11" s="452">
        <v>0</v>
      </c>
      <c r="F11" s="597">
        <v>11.6</v>
      </c>
      <c r="G11" s="596">
        <f t="shared" si="1"/>
        <v>0</v>
      </c>
      <c r="H11" s="596">
        <f t="shared" si="2"/>
        <v>0</v>
      </c>
      <c r="I11" s="679">
        <f t="shared" si="3"/>
        <v>0</v>
      </c>
    </row>
    <row r="12" spans="2:9" ht="19.5" customHeight="1">
      <c r="B12" s="306" t="s">
        <v>25</v>
      </c>
      <c r="C12" s="449">
        <f t="shared" si="0"/>
        <v>40</v>
      </c>
      <c r="D12" s="451">
        <v>40</v>
      </c>
      <c r="E12" s="452">
        <v>0</v>
      </c>
      <c r="F12" s="597">
        <v>10.1</v>
      </c>
      <c r="G12" s="596">
        <f t="shared" si="1"/>
        <v>404</v>
      </c>
      <c r="H12" s="596">
        <f t="shared" si="2"/>
        <v>404</v>
      </c>
      <c r="I12" s="679">
        <f t="shared" si="3"/>
        <v>0</v>
      </c>
    </row>
    <row r="13" spans="2:9" ht="19.5" customHeight="1">
      <c r="B13" s="306" t="s">
        <v>22</v>
      </c>
      <c r="C13" s="449">
        <f t="shared" si="0"/>
        <v>300</v>
      </c>
      <c r="D13" s="451">
        <v>0</v>
      </c>
      <c r="E13" s="452">
        <v>300</v>
      </c>
      <c r="F13" s="597">
        <v>8.6</v>
      </c>
      <c r="G13" s="596">
        <f t="shared" si="1"/>
        <v>2580</v>
      </c>
      <c r="H13" s="596">
        <f t="shared" si="2"/>
        <v>0</v>
      </c>
      <c r="I13" s="679">
        <f t="shared" si="3"/>
        <v>2580</v>
      </c>
    </row>
    <row r="14" spans="2:9" ht="19.5" customHeight="1">
      <c r="B14" s="306" t="s">
        <v>23</v>
      </c>
      <c r="C14" s="449">
        <f t="shared" si="0"/>
        <v>420</v>
      </c>
      <c r="D14" s="451">
        <v>420</v>
      </c>
      <c r="E14" s="452">
        <v>0</v>
      </c>
      <c r="F14" s="597">
        <v>10.1</v>
      </c>
      <c r="G14" s="596">
        <f t="shared" si="1"/>
        <v>4242</v>
      </c>
      <c r="H14" s="596">
        <f t="shared" si="2"/>
        <v>4242</v>
      </c>
      <c r="I14" s="679">
        <f t="shared" si="3"/>
        <v>0</v>
      </c>
    </row>
    <row r="15" spans="2:9" ht="19.5" customHeight="1">
      <c r="B15" s="306" t="s">
        <v>61</v>
      </c>
      <c r="C15" s="449">
        <f t="shared" si="0"/>
        <v>44</v>
      </c>
      <c r="D15" s="451">
        <v>0</v>
      </c>
      <c r="E15" s="452">
        <v>44</v>
      </c>
      <c r="F15" s="597">
        <v>12.1</v>
      </c>
      <c r="G15" s="596">
        <f t="shared" si="1"/>
        <v>532.4</v>
      </c>
      <c r="H15" s="596">
        <f t="shared" si="2"/>
        <v>0</v>
      </c>
      <c r="I15" s="679">
        <f t="shared" si="3"/>
        <v>532.4</v>
      </c>
    </row>
    <row r="16" spans="2:9" ht="19.5" customHeight="1">
      <c r="B16" s="306" t="s">
        <v>62</v>
      </c>
      <c r="C16" s="677">
        <f t="shared" si="0"/>
        <v>200</v>
      </c>
      <c r="D16" s="451">
        <v>190</v>
      </c>
      <c r="E16" s="452">
        <v>10</v>
      </c>
      <c r="F16" s="597">
        <v>11</v>
      </c>
      <c r="G16" s="596">
        <f t="shared" si="1"/>
        <v>2200</v>
      </c>
      <c r="H16" s="596">
        <f t="shared" si="2"/>
        <v>2090</v>
      </c>
      <c r="I16" s="679">
        <f t="shared" si="3"/>
        <v>110</v>
      </c>
    </row>
    <row r="17" spans="2:9" ht="19.5" customHeight="1">
      <c r="B17" s="306" t="s">
        <v>63</v>
      </c>
      <c r="C17" s="449">
        <f t="shared" si="0"/>
        <v>155</v>
      </c>
      <c r="D17" s="451">
        <v>155</v>
      </c>
      <c r="E17" s="452">
        <v>0</v>
      </c>
      <c r="F17" s="597">
        <v>8.9</v>
      </c>
      <c r="G17" s="596">
        <f t="shared" si="1"/>
        <v>1379.5</v>
      </c>
      <c r="H17" s="596">
        <f t="shared" si="2"/>
        <v>1379.5</v>
      </c>
      <c r="I17" s="679">
        <f t="shared" si="3"/>
        <v>0</v>
      </c>
    </row>
    <row r="18" spans="2:9" ht="19.5" customHeight="1">
      <c r="B18" s="306" t="s">
        <v>64</v>
      </c>
      <c r="C18" s="449">
        <f t="shared" si="0"/>
        <v>140</v>
      </c>
      <c r="D18" s="451">
        <v>100</v>
      </c>
      <c r="E18" s="452">
        <v>40</v>
      </c>
      <c r="F18" s="597">
        <v>10.7</v>
      </c>
      <c r="G18" s="596">
        <f t="shared" si="1"/>
        <v>1498</v>
      </c>
      <c r="H18" s="596">
        <f t="shared" si="2"/>
        <v>1070</v>
      </c>
      <c r="I18" s="679">
        <f t="shared" si="3"/>
        <v>428</v>
      </c>
    </row>
    <row r="19" spans="2:9" ht="19.5" customHeight="1">
      <c r="B19" s="306" t="s">
        <v>65</v>
      </c>
      <c r="C19" s="449">
        <f t="shared" si="0"/>
        <v>170</v>
      </c>
      <c r="D19" s="451">
        <v>157</v>
      </c>
      <c r="E19" s="452">
        <v>13</v>
      </c>
      <c r="F19" s="597">
        <v>7.7</v>
      </c>
      <c r="G19" s="596">
        <f t="shared" si="1"/>
        <v>1309</v>
      </c>
      <c r="H19" s="596">
        <f t="shared" si="2"/>
        <v>1208.9</v>
      </c>
      <c r="I19" s="679">
        <f t="shared" si="3"/>
        <v>100.10000000000001</v>
      </c>
    </row>
    <row r="20" spans="2:9" ht="19.5" customHeight="1">
      <c r="B20" s="306" t="s">
        <v>66</v>
      </c>
      <c r="C20" s="449">
        <f t="shared" si="0"/>
        <v>0</v>
      </c>
      <c r="D20" s="451">
        <v>0</v>
      </c>
      <c r="E20" s="452">
        <v>0</v>
      </c>
      <c r="F20" s="597">
        <v>10.8</v>
      </c>
      <c r="G20" s="596">
        <f t="shared" si="1"/>
        <v>0</v>
      </c>
      <c r="H20" s="596">
        <f t="shared" si="2"/>
        <v>0</v>
      </c>
      <c r="I20" s="679">
        <f t="shared" si="3"/>
        <v>0</v>
      </c>
    </row>
    <row r="21" spans="2:9" ht="19.5" customHeight="1">
      <c r="B21" s="306" t="s">
        <v>67</v>
      </c>
      <c r="C21" s="449">
        <f t="shared" si="0"/>
        <v>510</v>
      </c>
      <c r="D21" s="451">
        <v>500</v>
      </c>
      <c r="E21" s="452">
        <v>10</v>
      </c>
      <c r="F21" s="597">
        <v>6.3</v>
      </c>
      <c r="G21" s="596">
        <f t="shared" si="1"/>
        <v>3213</v>
      </c>
      <c r="H21" s="596">
        <f t="shared" si="2"/>
        <v>3150</v>
      </c>
      <c r="I21" s="679">
        <f t="shared" si="3"/>
        <v>63</v>
      </c>
    </row>
    <row r="22" spans="2:9" ht="19.5" customHeight="1">
      <c r="B22" s="306" t="s">
        <v>47</v>
      </c>
      <c r="C22" s="449">
        <f t="shared" si="0"/>
        <v>155</v>
      </c>
      <c r="D22" s="451">
        <v>100</v>
      </c>
      <c r="E22" s="452">
        <v>55</v>
      </c>
      <c r="F22" s="597">
        <v>7.6</v>
      </c>
      <c r="G22" s="596">
        <f t="shared" si="1"/>
        <v>1178</v>
      </c>
      <c r="H22" s="596">
        <f t="shared" si="2"/>
        <v>760</v>
      </c>
      <c r="I22" s="679">
        <f t="shared" si="3"/>
        <v>418</v>
      </c>
    </row>
    <row r="23" spans="2:9" ht="19.5" customHeight="1">
      <c r="B23" s="306" t="s">
        <v>35</v>
      </c>
      <c r="C23" s="449">
        <f t="shared" si="0"/>
        <v>0</v>
      </c>
      <c r="D23" s="451">
        <v>0</v>
      </c>
      <c r="E23" s="452">
        <v>0</v>
      </c>
      <c r="F23" s="597">
        <v>6.8</v>
      </c>
      <c r="G23" s="596">
        <f t="shared" si="1"/>
        <v>0</v>
      </c>
      <c r="H23" s="596">
        <f t="shared" si="2"/>
        <v>0</v>
      </c>
      <c r="I23" s="679">
        <f t="shared" si="3"/>
        <v>0</v>
      </c>
    </row>
    <row r="24" spans="2:9" ht="19.5" customHeight="1">
      <c r="B24" s="306" t="s">
        <v>68</v>
      </c>
      <c r="C24" s="449">
        <f t="shared" si="0"/>
        <v>625</v>
      </c>
      <c r="D24" s="451">
        <v>540</v>
      </c>
      <c r="E24" s="452">
        <v>85</v>
      </c>
      <c r="F24" s="597">
        <v>12.1</v>
      </c>
      <c r="G24" s="596">
        <f t="shared" si="1"/>
        <v>7562.5</v>
      </c>
      <c r="H24" s="596">
        <f t="shared" si="2"/>
        <v>6534</v>
      </c>
      <c r="I24" s="679">
        <f t="shared" si="3"/>
        <v>1028.5</v>
      </c>
    </row>
    <row r="25" spans="2:9" ht="19.5" customHeight="1">
      <c r="B25" s="306" t="s">
        <v>69</v>
      </c>
      <c r="C25" s="449">
        <f t="shared" si="0"/>
        <v>30</v>
      </c>
      <c r="D25" s="451">
        <v>25</v>
      </c>
      <c r="E25" s="452">
        <v>5</v>
      </c>
      <c r="F25" s="597">
        <v>12.3</v>
      </c>
      <c r="G25" s="596">
        <f t="shared" si="1"/>
        <v>369</v>
      </c>
      <c r="H25" s="596">
        <f t="shared" si="2"/>
        <v>307.5</v>
      </c>
      <c r="I25" s="679">
        <f t="shared" si="3"/>
        <v>61.5</v>
      </c>
    </row>
    <row r="26" spans="2:9" ht="19.5" customHeight="1">
      <c r="B26" s="306" t="s">
        <v>28</v>
      </c>
      <c r="C26" s="449">
        <f t="shared" si="0"/>
        <v>1718</v>
      </c>
      <c r="D26" s="451">
        <v>230</v>
      </c>
      <c r="E26" s="452">
        <v>1488</v>
      </c>
      <c r="F26" s="597">
        <v>7.1</v>
      </c>
      <c r="G26" s="596">
        <f t="shared" si="1"/>
        <v>12197.8</v>
      </c>
      <c r="H26" s="596">
        <f t="shared" si="2"/>
        <v>1633</v>
      </c>
      <c r="I26" s="679">
        <f t="shared" si="3"/>
        <v>10564.8</v>
      </c>
    </row>
    <row r="27" spans="2:9" ht="19.5" customHeight="1">
      <c r="B27" s="306" t="s">
        <v>70</v>
      </c>
      <c r="C27" s="449">
        <f t="shared" si="0"/>
        <v>410</v>
      </c>
      <c r="D27" s="451">
        <v>410</v>
      </c>
      <c r="E27" s="452">
        <v>0</v>
      </c>
      <c r="F27" s="597">
        <v>5.6</v>
      </c>
      <c r="G27" s="596">
        <f t="shared" si="1"/>
        <v>2296</v>
      </c>
      <c r="H27" s="596">
        <f t="shared" si="2"/>
        <v>2296</v>
      </c>
      <c r="I27" s="679">
        <f t="shared" si="3"/>
        <v>0</v>
      </c>
    </row>
    <row r="28" spans="2:9" ht="19.5" customHeight="1">
      <c r="B28" s="326" t="s">
        <v>71</v>
      </c>
      <c r="C28" s="449">
        <f t="shared" si="0"/>
        <v>220</v>
      </c>
      <c r="D28" s="451">
        <v>210</v>
      </c>
      <c r="E28" s="452">
        <v>10</v>
      </c>
      <c r="F28" s="597">
        <v>7.7</v>
      </c>
      <c r="G28" s="596">
        <f t="shared" si="1"/>
        <v>1694</v>
      </c>
      <c r="H28" s="596">
        <f t="shared" si="2"/>
        <v>1617</v>
      </c>
      <c r="I28" s="679">
        <f t="shared" si="3"/>
        <v>77</v>
      </c>
    </row>
    <row r="29" spans="2:9" ht="19.5" customHeight="1" thickBot="1">
      <c r="B29" s="326" t="s">
        <v>29</v>
      </c>
      <c r="C29" s="449">
        <f t="shared" si="0"/>
        <v>608</v>
      </c>
      <c r="D29" s="451">
        <v>445</v>
      </c>
      <c r="E29" s="452">
        <v>163</v>
      </c>
      <c r="F29" s="597">
        <v>8.9</v>
      </c>
      <c r="G29" s="596">
        <f t="shared" si="1"/>
        <v>5411.2</v>
      </c>
      <c r="H29" s="596">
        <f t="shared" si="2"/>
        <v>3960.5</v>
      </c>
      <c r="I29" s="679">
        <f t="shared" si="3"/>
        <v>1450.7</v>
      </c>
    </row>
    <row r="30" spans="2:9" ht="19.5" customHeight="1" hidden="1" thickBot="1">
      <c r="B30" s="326" t="s">
        <v>72</v>
      </c>
      <c r="C30" s="457">
        <f t="shared" si="0"/>
        <v>0</v>
      </c>
      <c r="D30" s="455"/>
      <c r="E30" s="456"/>
      <c r="F30" s="598"/>
      <c r="G30" s="600">
        <f t="shared" si="1"/>
        <v>0</v>
      </c>
      <c r="H30" s="600">
        <f t="shared" si="2"/>
        <v>0</v>
      </c>
      <c r="I30" s="680"/>
    </row>
    <row r="31" spans="2:9" ht="30" customHeight="1" thickBot="1">
      <c r="B31" s="347" t="s">
        <v>40</v>
      </c>
      <c r="C31" s="424">
        <f t="shared" si="0"/>
        <v>6244</v>
      </c>
      <c r="D31" s="519">
        <f>SUM(D9:D30)</f>
        <v>4021</v>
      </c>
      <c r="E31" s="613">
        <f>SUM(E9:E30)</f>
        <v>2223</v>
      </c>
      <c r="F31" s="754">
        <f>G31/C31</f>
        <v>8.56111467008328</v>
      </c>
      <c r="G31" s="612">
        <f t="shared" si="1"/>
        <v>53455.6</v>
      </c>
      <c r="H31" s="601">
        <f>SUM(H9:H30)</f>
        <v>36041.6</v>
      </c>
      <c r="I31" s="602">
        <f>SUM(I9:I30)</f>
        <v>17414</v>
      </c>
    </row>
    <row r="32" spans="2:9" ht="27" customHeight="1" thickBot="1">
      <c r="B32" s="603" t="s">
        <v>48</v>
      </c>
      <c r="C32" s="424">
        <f>'приложение 1'!J11</f>
        <v>692</v>
      </c>
      <c r="D32" s="425"/>
      <c r="E32" s="426"/>
      <c r="F32" s="599"/>
      <c r="G32" s="676">
        <v>6366.4</v>
      </c>
      <c r="H32" s="614"/>
      <c r="I32" s="615"/>
    </row>
    <row r="33" spans="2:9" ht="27" customHeight="1" thickBot="1">
      <c r="B33" s="542" t="s">
        <v>42</v>
      </c>
      <c r="C33" s="424">
        <f>'приложение 1'!J12</f>
        <v>6936.338772</v>
      </c>
      <c r="D33" s="616"/>
      <c r="E33" s="617"/>
      <c r="F33" s="541"/>
      <c r="G33" s="612">
        <f>G32+G31</f>
        <v>59822</v>
      </c>
      <c r="H33" s="618"/>
      <c r="I33" s="619"/>
    </row>
    <row r="34" spans="2:5" ht="15" hidden="1">
      <c r="B34" s="540"/>
      <c r="C34" s="368">
        <f>C33-C32</f>
        <v>6244.338772</v>
      </c>
      <c r="D34" s="368">
        <f>C34-C31</f>
        <v>0.3387720000000627</v>
      </c>
      <c r="E34" s="368"/>
    </row>
    <row r="35" spans="2:5" ht="15">
      <c r="B35" s="539"/>
      <c r="C35" s="369"/>
      <c r="D35" s="370"/>
      <c r="E35" s="371"/>
    </row>
    <row r="36" spans="2:5" ht="15">
      <c r="B36" s="372"/>
      <c r="C36" s="264"/>
      <c r="D36" s="370"/>
      <c r="E36" s="231"/>
    </row>
    <row r="37" spans="3:5" ht="15">
      <c r="C37" s="264"/>
      <c r="D37" s="370"/>
      <c r="E37" s="373"/>
    </row>
    <row r="38" spans="3:5" ht="15">
      <c r="C38" s="264"/>
      <c r="D38" s="264"/>
      <c r="E38" s="264"/>
    </row>
    <row r="39" spans="3:5" ht="15">
      <c r="C39" s="264"/>
      <c r="D39" s="264"/>
      <c r="E39" s="264"/>
    </row>
    <row r="40" spans="3:5" ht="15">
      <c r="C40" s="264"/>
      <c r="D40" s="264"/>
      <c r="E40" s="264"/>
    </row>
    <row r="41" spans="3:5" ht="15">
      <c r="C41" s="264"/>
      <c r="D41" s="264"/>
      <c r="E41" s="264"/>
    </row>
    <row r="42" spans="3:5" ht="15">
      <c r="C42" s="268"/>
      <c r="D42" s="268"/>
      <c r="E42" s="268"/>
    </row>
    <row r="45" ht="15">
      <c r="F45" s="374"/>
    </row>
    <row r="46" ht="15">
      <c r="F46" s="374"/>
    </row>
    <row r="58" ht="15" customHeight="1" hidden="1"/>
    <row r="59" ht="15.75" customHeight="1" hidden="1" thickBot="1"/>
    <row r="60" ht="15" customHeight="1" hidden="1"/>
    <row r="61" ht="65.25" customHeight="1" hidden="1"/>
    <row r="62" ht="15" customHeight="1" hidden="1" thickBot="1"/>
    <row r="63" ht="15.75" customHeight="1" hidden="1" thickBot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.75" customHeight="1" hidden="1" thickBot="1"/>
    <row r="86" ht="15.75" customHeight="1" hidden="1" thickBot="1"/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" customHeight="1" hidden="1"/>
    <row r="110" ht="15.75" customHeight="1" hidden="1" thickBot="1"/>
    <row r="111" ht="15" customHeight="1" hidden="1"/>
    <row r="112" ht="65.25" customHeight="1" hidden="1"/>
    <row r="113" ht="15" customHeight="1" hidden="1" thickBot="1"/>
    <row r="114" ht="15.75" customHeight="1" hidden="1" thickBot="1"/>
    <row r="115" ht="15.75" customHeight="1" hidden="1" thickBot="1"/>
    <row r="116" ht="15.75" customHeight="1" hidden="1" thickBot="1"/>
    <row r="117" ht="15" customHeight="1" hidden="1"/>
    <row r="118" ht="15" customHeight="1" hidden="1"/>
    <row r="119" ht="15.75" customHeight="1" hidden="1" thickBot="1"/>
    <row r="120" ht="15" customHeight="1" hidden="1"/>
    <row r="121" ht="65.25" customHeight="1" hidden="1"/>
    <row r="122" ht="15" customHeight="1" hidden="1" thickBot="1"/>
    <row r="123" ht="15.75" customHeight="1" hidden="1" thickBot="1"/>
    <row r="124" ht="15" customHeight="1" hidden="1"/>
    <row r="125" ht="15" customHeight="1" hidden="1"/>
    <row r="126" ht="15" customHeight="1" hidden="1"/>
    <row r="127" ht="15" customHeight="1" hidden="1"/>
    <row r="128" ht="15.75" customHeight="1" hidden="1" thickBot="1"/>
    <row r="129" ht="15.75" customHeight="1" hidden="1" thickBot="1"/>
    <row r="130" ht="15" customHeight="1" hidden="1"/>
    <row r="131" ht="15" customHeight="1" hidden="1"/>
    <row r="132" ht="15.75" customHeight="1" hidden="1" thickBot="1"/>
    <row r="133" ht="15" customHeight="1" hidden="1"/>
    <row r="134" ht="65.25" customHeight="1" hidden="1"/>
    <row r="135" ht="15" customHeight="1" hidden="1" thickBot="1"/>
    <row r="136" ht="15.75" customHeight="1" hidden="1" thickBot="1"/>
    <row r="137" ht="15.75" customHeight="1" hidden="1" thickBot="1"/>
    <row r="138" ht="15.75" customHeight="1" hidden="1" thickBot="1"/>
    <row r="139" ht="15" customHeight="1" hidden="1"/>
    <row r="140" ht="15" customHeight="1" hidden="1"/>
    <row r="141" ht="15.75" customHeight="1" hidden="1" thickBot="1"/>
    <row r="142" ht="15" customHeight="1" hidden="1"/>
    <row r="143" ht="65.25" customHeight="1" hidden="1"/>
    <row r="144" ht="15" customHeight="1" hidden="1" thickBot="1"/>
    <row r="145" ht="15.75" customHeight="1" hidden="1" thickBot="1"/>
    <row r="146" ht="15" customHeight="1" hidden="1"/>
    <row r="147" ht="15.75" customHeight="1" hidden="1" thickBot="1"/>
    <row r="148" ht="15.75" customHeight="1" hidden="1" thickBot="1"/>
    <row r="149" ht="15" customHeight="1" hidden="1"/>
  </sheetData>
  <sheetProtection/>
  <mergeCells count="11">
    <mergeCell ref="B3:I3"/>
    <mergeCell ref="F1:I1"/>
    <mergeCell ref="F5:F7"/>
    <mergeCell ref="C4:I4"/>
    <mergeCell ref="B4:B7"/>
    <mergeCell ref="G5:I5"/>
    <mergeCell ref="G6:G7"/>
    <mergeCell ref="H6:I6"/>
    <mergeCell ref="C5:E5"/>
    <mergeCell ref="D6:E6"/>
    <mergeCell ref="C6:C7"/>
  </mergeCells>
  <printOptions/>
  <pageMargins left="0.1968503937007874" right="0.15748031496062992" top="0.35433070866141736" bottom="0.15748031496062992" header="0.31496062992125984" footer="0.31496062992125984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8"/>
  <sheetViews>
    <sheetView view="pageBreakPreview" zoomScale="70" zoomScaleSheetLayoutView="70" zoomScalePageLayoutView="0" workbookViewId="0" topLeftCell="A4">
      <pane xSplit="2" topLeftCell="C1" activePane="topRight" state="frozen"/>
      <selection pane="topLeft" activeCell="A4" sqref="A4"/>
      <selection pane="topRight" activeCell="C13" sqref="C13"/>
    </sheetView>
  </sheetViews>
  <sheetFormatPr defaultColWidth="9.140625" defaultRowHeight="15"/>
  <cols>
    <col min="1" max="1" width="7.7109375" style="0" customWidth="1"/>
    <col min="2" max="2" width="66.00390625" style="373" customWidth="1"/>
    <col min="3" max="3" width="16.57421875" style="202" customWidth="1"/>
    <col min="4" max="4" width="19.140625" style="202" customWidth="1"/>
    <col min="5" max="5" width="16.421875" style="202" customWidth="1"/>
    <col min="6" max="6" width="22.28125" style="202" customWidth="1"/>
    <col min="7" max="7" width="19.140625" style="202" customWidth="1"/>
    <col min="8" max="9" width="17.7109375" style="202" customWidth="1"/>
    <col min="10" max="12" width="8.8515625" style="0" customWidth="1"/>
    <col min="13" max="13" width="10.421875" style="0" hidden="1" customWidth="1"/>
    <col min="14" max="14" width="11.8515625" style="0" hidden="1" customWidth="1"/>
    <col min="15" max="15" width="11.00390625" style="0" hidden="1" customWidth="1"/>
    <col min="16" max="16" width="10.421875" style="0" hidden="1" customWidth="1"/>
    <col min="17" max="17" width="13.00390625" style="0" hidden="1" customWidth="1"/>
    <col min="18" max="18" width="11.00390625" style="0" hidden="1" customWidth="1"/>
    <col min="19" max="19" width="13.00390625" style="0" hidden="1" customWidth="1"/>
    <col min="20" max="20" width="12.00390625" style="0" hidden="1" customWidth="1"/>
    <col min="21" max="21" width="9.421875" style="0" hidden="1" customWidth="1"/>
    <col min="22" max="24" width="9.421875" style="239" hidden="1" customWidth="1"/>
    <col min="25" max="25" width="8.140625" style="239" hidden="1" customWidth="1"/>
    <col min="26" max="26" width="7.421875" style="239" hidden="1" customWidth="1"/>
    <col min="27" max="27" width="7.8515625" style="239" hidden="1" customWidth="1"/>
    <col min="28" max="28" width="8.140625" style="239" hidden="1" customWidth="1"/>
    <col min="29" max="29" width="7.7109375" style="239" hidden="1" customWidth="1"/>
    <col min="30" max="30" width="7.57421875" style="239" hidden="1" customWidth="1"/>
    <col min="31" max="31" width="7.7109375" style="239" hidden="1" customWidth="1"/>
    <col min="32" max="32" width="8.00390625" style="240" hidden="1" customWidth="1"/>
    <col min="33" max="33" width="8.28125" style="240" hidden="1" customWidth="1"/>
    <col min="34" max="34" width="10.28125" style="240" hidden="1" customWidth="1"/>
    <col min="35" max="35" width="11.8515625" style="240" hidden="1" customWidth="1"/>
    <col min="36" max="36" width="11.00390625" style="240" hidden="1" customWidth="1"/>
    <col min="37" max="37" width="7.7109375" style="270" customWidth="1"/>
    <col min="38" max="16384" width="9.140625" style="20" customWidth="1"/>
  </cols>
  <sheetData>
    <row r="1" spans="6:37" ht="71.25" customHeight="1">
      <c r="F1" s="842" t="s">
        <v>294</v>
      </c>
      <c r="G1" s="842"/>
      <c r="H1" s="842"/>
      <c r="I1" s="842"/>
      <c r="J1" s="233"/>
      <c r="K1" s="233"/>
      <c r="L1" s="233"/>
      <c r="AK1" s="232"/>
    </row>
    <row r="2" spans="9:37" ht="15">
      <c r="I2" s="240"/>
      <c r="J2" s="200"/>
      <c r="M2" s="165"/>
      <c r="N2" s="165"/>
      <c r="O2" s="165"/>
      <c r="P2" s="165"/>
      <c r="Q2" s="165"/>
      <c r="R2" s="165"/>
      <c r="S2" s="165"/>
      <c r="T2" s="165"/>
      <c r="U2" s="165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61"/>
      <c r="AG2" s="261"/>
      <c r="AH2" s="261"/>
      <c r="AI2" s="261"/>
      <c r="AJ2" s="261"/>
      <c r="AK2" s="231"/>
    </row>
    <row r="3" spans="1:36" ht="42.75" customHeight="1" thickBot="1">
      <c r="A3" s="165"/>
      <c r="B3" s="866" t="s">
        <v>276</v>
      </c>
      <c r="C3" s="866"/>
      <c r="D3" s="866"/>
      <c r="E3" s="866"/>
      <c r="F3" s="866"/>
      <c r="G3" s="866"/>
      <c r="H3" s="866"/>
      <c r="I3" s="866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</row>
    <row r="4" spans="1:36" ht="53.25" customHeight="1" thickBot="1">
      <c r="A4" s="165"/>
      <c r="B4" s="856" t="s">
        <v>73</v>
      </c>
      <c r="C4" s="870" t="s">
        <v>273</v>
      </c>
      <c r="D4" s="870"/>
      <c r="E4" s="870"/>
      <c r="F4" s="870"/>
      <c r="G4" s="870"/>
      <c r="H4" s="870"/>
      <c r="I4" s="8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</row>
    <row r="5" spans="2:36" ht="39" customHeight="1" thickBot="1">
      <c r="B5" s="857"/>
      <c r="C5" s="859" t="s">
        <v>245</v>
      </c>
      <c r="D5" s="860"/>
      <c r="E5" s="861"/>
      <c r="F5" s="875" t="s">
        <v>268</v>
      </c>
      <c r="G5" s="872" t="s">
        <v>246</v>
      </c>
      <c r="H5" s="873"/>
      <c r="I5" s="874"/>
      <c r="M5" s="887" t="s">
        <v>50</v>
      </c>
      <c r="N5" s="888"/>
      <c r="O5" s="889"/>
      <c r="P5" s="890" t="s">
        <v>51</v>
      </c>
      <c r="Q5" s="888"/>
      <c r="R5" s="891"/>
      <c r="S5" s="887" t="s">
        <v>52</v>
      </c>
      <c r="T5" s="888"/>
      <c r="U5" s="889"/>
      <c r="V5" s="867" t="s">
        <v>53</v>
      </c>
      <c r="W5" s="868"/>
      <c r="X5" s="869"/>
      <c r="Y5" s="884" t="s">
        <v>54</v>
      </c>
      <c r="Z5" s="885"/>
      <c r="AA5" s="886"/>
      <c r="AB5" s="884" t="s">
        <v>55</v>
      </c>
      <c r="AC5" s="885"/>
      <c r="AD5" s="900"/>
      <c r="AE5" s="895" t="s">
        <v>56</v>
      </c>
      <c r="AF5" s="885"/>
      <c r="AG5" s="886"/>
      <c r="AH5" s="859" t="s">
        <v>57</v>
      </c>
      <c r="AI5" s="860"/>
      <c r="AJ5" s="861"/>
    </row>
    <row r="6" spans="2:36" ht="24" customHeight="1">
      <c r="B6" s="857"/>
      <c r="C6" s="864" t="s">
        <v>14</v>
      </c>
      <c r="D6" s="862" t="s">
        <v>89</v>
      </c>
      <c r="E6" s="863"/>
      <c r="F6" s="876"/>
      <c r="G6" s="899" t="s">
        <v>14</v>
      </c>
      <c r="H6" s="901"/>
      <c r="I6" s="902"/>
      <c r="M6" s="878" t="s">
        <v>14</v>
      </c>
      <c r="N6" s="880" t="s">
        <v>44</v>
      </c>
      <c r="O6" s="881"/>
      <c r="P6" s="882" t="s">
        <v>14</v>
      </c>
      <c r="Q6" s="880" t="s">
        <v>44</v>
      </c>
      <c r="R6" s="903"/>
      <c r="S6" s="878" t="s">
        <v>14</v>
      </c>
      <c r="T6" s="880" t="s">
        <v>44</v>
      </c>
      <c r="U6" s="881"/>
      <c r="V6" s="895" t="s">
        <v>14</v>
      </c>
      <c r="W6" s="885" t="s">
        <v>15</v>
      </c>
      <c r="X6" s="886"/>
      <c r="Y6" s="882" t="s">
        <v>14</v>
      </c>
      <c r="Z6" s="880" t="s">
        <v>44</v>
      </c>
      <c r="AA6" s="881"/>
      <c r="AB6" s="882" t="s">
        <v>14</v>
      </c>
      <c r="AC6" s="880" t="s">
        <v>44</v>
      </c>
      <c r="AD6" s="881"/>
      <c r="AE6" s="882" t="s">
        <v>14</v>
      </c>
      <c r="AF6" s="880" t="s">
        <v>44</v>
      </c>
      <c r="AG6" s="903"/>
      <c r="AH6" s="897" t="s">
        <v>14</v>
      </c>
      <c r="AI6" s="891" t="s">
        <v>44</v>
      </c>
      <c r="AJ6" s="894"/>
    </row>
    <row r="7" spans="2:37" ht="35.25" customHeight="1" thickBot="1">
      <c r="B7" s="858"/>
      <c r="C7" s="865"/>
      <c r="D7" s="681" t="s">
        <v>58</v>
      </c>
      <c r="E7" s="682" t="s">
        <v>17</v>
      </c>
      <c r="F7" s="877"/>
      <c r="G7" s="865"/>
      <c r="H7" s="681" t="s">
        <v>58</v>
      </c>
      <c r="I7" s="708" t="s">
        <v>17</v>
      </c>
      <c r="M7" s="879"/>
      <c r="N7" s="273" t="s">
        <v>58</v>
      </c>
      <c r="O7" s="275" t="s">
        <v>17</v>
      </c>
      <c r="P7" s="883"/>
      <c r="Q7" s="273" t="s">
        <v>58</v>
      </c>
      <c r="R7" s="274" t="s">
        <v>17</v>
      </c>
      <c r="S7" s="879"/>
      <c r="T7" s="273" t="s">
        <v>58</v>
      </c>
      <c r="U7" s="275" t="s">
        <v>17</v>
      </c>
      <c r="V7" s="896"/>
      <c r="W7" s="276" t="s">
        <v>59</v>
      </c>
      <c r="X7" s="277" t="s">
        <v>17</v>
      </c>
      <c r="Y7" s="883"/>
      <c r="Z7" s="273" t="s">
        <v>58</v>
      </c>
      <c r="AA7" s="275" t="s">
        <v>17</v>
      </c>
      <c r="AB7" s="883"/>
      <c r="AC7" s="273" t="s">
        <v>58</v>
      </c>
      <c r="AD7" s="275" t="s">
        <v>17</v>
      </c>
      <c r="AE7" s="883"/>
      <c r="AF7" s="273" t="s">
        <v>58</v>
      </c>
      <c r="AG7" s="274" t="s">
        <v>17</v>
      </c>
      <c r="AH7" s="898"/>
      <c r="AI7" s="278" t="s">
        <v>16</v>
      </c>
      <c r="AJ7" s="279" t="s">
        <v>17</v>
      </c>
      <c r="AK7" s="272"/>
    </row>
    <row r="8" spans="2:36" ht="21.75" customHeight="1" thickBot="1">
      <c r="B8" s="375" t="s">
        <v>20</v>
      </c>
      <c r="C8" s="378">
        <v>1</v>
      </c>
      <c r="D8" s="376">
        <v>2</v>
      </c>
      <c r="E8" s="377">
        <v>3</v>
      </c>
      <c r="F8" s="543">
        <v>4</v>
      </c>
      <c r="G8" s="378">
        <v>5</v>
      </c>
      <c r="H8" s="376">
        <v>6</v>
      </c>
      <c r="I8" s="544">
        <v>7</v>
      </c>
      <c r="M8" s="283">
        <v>1</v>
      </c>
      <c r="N8" s="280">
        <v>2</v>
      </c>
      <c r="O8" s="281">
        <v>3</v>
      </c>
      <c r="P8" s="284">
        <v>4</v>
      </c>
      <c r="Q8" s="280">
        <v>5</v>
      </c>
      <c r="R8" s="282">
        <v>6</v>
      </c>
      <c r="S8" s="283">
        <v>7</v>
      </c>
      <c r="T8" s="280">
        <v>8</v>
      </c>
      <c r="U8" s="281">
        <v>9</v>
      </c>
      <c r="V8" s="285"/>
      <c r="W8" s="286"/>
      <c r="X8" s="287"/>
      <c r="Y8" s="288"/>
      <c r="Z8" s="286"/>
      <c r="AA8" s="287"/>
      <c r="AB8" s="288"/>
      <c r="AC8" s="286"/>
      <c r="AD8" s="289"/>
      <c r="AE8" s="285"/>
      <c r="AF8" s="247"/>
      <c r="AG8" s="248"/>
      <c r="AH8" s="246"/>
      <c r="AI8" s="247"/>
      <c r="AJ8" s="249"/>
    </row>
    <row r="9" spans="2:36" ht="24.75" customHeight="1">
      <c r="B9" s="379" t="s">
        <v>74</v>
      </c>
      <c r="C9" s="683">
        <f aca="true" t="shared" si="0" ref="C9:C16">D9+E9</f>
        <v>30</v>
      </c>
      <c r="D9" s="684">
        <v>30</v>
      </c>
      <c r="E9" s="685"/>
      <c r="F9" s="606">
        <v>10.8</v>
      </c>
      <c r="G9" s="686">
        <f aca="true" t="shared" si="1" ref="G9:G26">H9+I9</f>
        <v>324</v>
      </c>
      <c r="H9" s="314">
        <f aca="true" t="shared" si="2" ref="H9:H24">D9*F9</f>
        <v>324</v>
      </c>
      <c r="I9" s="687">
        <f aca="true" t="shared" si="3" ref="I9:I24">E9*F9</f>
        <v>0</v>
      </c>
      <c r="M9" s="292">
        <f aca="true" t="shared" si="4" ref="M9:M31">N9+O9</f>
        <v>0</v>
      </c>
      <c r="N9" s="250">
        <f>K9/3</f>
        <v>0</v>
      </c>
      <c r="O9" s="293">
        <f>L9/3</f>
        <v>0</v>
      </c>
      <c r="P9" s="294">
        <f aca="true" t="shared" si="5" ref="P9:P31">Q9+R9</f>
        <v>430.7</v>
      </c>
      <c r="Q9" s="295">
        <v>430.7</v>
      </c>
      <c r="R9" s="296">
        <f>O9/3</f>
        <v>0</v>
      </c>
      <c r="S9" s="297">
        <f aca="true" t="shared" si="6" ref="S9:S31">T9+U9</f>
        <v>492</v>
      </c>
      <c r="T9" s="291">
        <f>246*2</f>
        <v>492</v>
      </c>
      <c r="U9" s="298"/>
      <c r="V9" s="299">
        <f aca="true" t="shared" si="7" ref="V9:V31">W9+X9</f>
        <v>330</v>
      </c>
      <c r="W9" s="300">
        <f>(21+56+49+(6+60)+(1+37)+(3+40)+(1+21)+(6+29))</f>
        <v>330</v>
      </c>
      <c r="X9" s="301"/>
      <c r="Y9" s="302">
        <f aca="true" t="shared" si="8" ref="Y9:Y31">Z9+AA9</f>
        <v>420</v>
      </c>
      <c r="Z9" s="300">
        <v>420</v>
      </c>
      <c r="AA9" s="301"/>
      <c r="AB9" s="302">
        <f aca="true" t="shared" si="9" ref="AB9:AB31">AC9+AD9</f>
        <v>346</v>
      </c>
      <c r="AC9" s="300">
        <v>346</v>
      </c>
      <c r="AD9" s="303"/>
      <c r="AE9" s="304">
        <f aca="true" t="shared" si="10" ref="AE9:AE31">AF9+AG9</f>
        <v>461.3333333333333</v>
      </c>
      <c r="AF9" s="250">
        <f aca="true" t="shared" si="11" ref="AF9:AF31">AC9/9*12</f>
        <v>461.3333333333333</v>
      </c>
      <c r="AG9" s="251">
        <f aca="true" t="shared" si="12" ref="AG9:AG31">AD9/9*12</f>
        <v>0</v>
      </c>
      <c r="AH9" s="305"/>
      <c r="AI9" s="251"/>
      <c r="AJ9" s="293"/>
    </row>
    <row r="10" spans="2:36" ht="24.75" customHeight="1">
      <c r="B10" s="698" t="s">
        <v>26</v>
      </c>
      <c r="C10" s="683">
        <f t="shared" si="0"/>
        <v>20</v>
      </c>
      <c r="D10" s="684">
        <v>20</v>
      </c>
      <c r="E10" s="685"/>
      <c r="F10" s="597">
        <v>10.8</v>
      </c>
      <c r="G10" s="686">
        <f t="shared" si="1"/>
        <v>216</v>
      </c>
      <c r="H10" s="314">
        <f t="shared" si="2"/>
        <v>216</v>
      </c>
      <c r="I10" s="687">
        <f t="shared" si="3"/>
        <v>0</v>
      </c>
      <c r="M10" s="292"/>
      <c r="N10" s="250"/>
      <c r="O10" s="293"/>
      <c r="P10" s="294"/>
      <c r="Q10" s="295"/>
      <c r="R10" s="296"/>
      <c r="S10" s="297"/>
      <c r="T10" s="291"/>
      <c r="U10" s="298"/>
      <c r="V10" s="299"/>
      <c r="W10" s="300"/>
      <c r="X10" s="301"/>
      <c r="Y10" s="302"/>
      <c r="Z10" s="300"/>
      <c r="AA10" s="301"/>
      <c r="AB10" s="302"/>
      <c r="AC10" s="300"/>
      <c r="AD10" s="303"/>
      <c r="AE10" s="304"/>
      <c r="AF10" s="250"/>
      <c r="AG10" s="251"/>
      <c r="AH10" s="305"/>
      <c r="AI10" s="251"/>
      <c r="AJ10" s="293"/>
    </row>
    <row r="11" spans="2:36" ht="24.75" customHeight="1">
      <c r="B11" s="698" t="s">
        <v>25</v>
      </c>
      <c r="C11" s="683">
        <f t="shared" si="0"/>
        <v>0</v>
      </c>
      <c r="D11" s="684">
        <v>0</v>
      </c>
      <c r="E11" s="688">
        <v>0</v>
      </c>
      <c r="F11" s="597">
        <v>10.1</v>
      </c>
      <c r="G11" s="686">
        <f t="shared" si="1"/>
        <v>0</v>
      </c>
      <c r="H11" s="314">
        <f t="shared" si="2"/>
        <v>0</v>
      </c>
      <c r="I11" s="687">
        <f t="shared" si="3"/>
        <v>0</v>
      </c>
      <c r="M11" s="292"/>
      <c r="N11" s="250"/>
      <c r="O11" s="293"/>
      <c r="P11" s="294"/>
      <c r="Q11" s="295"/>
      <c r="R11" s="296"/>
      <c r="S11" s="297"/>
      <c r="T11" s="291"/>
      <c r="U11" s="298"/>
      <c r="V11" s="299"/>
      <c r="W11" s="300"/>
      <c r="X11" s="301"/>
      <c r="Y11" s="302"/>
      <c r="Z11" s="300"/>
      <c r="AA11" s="301"/>
      <c r="AB11" s="302"/>
      <c r="AC11" s="300"/>
      <c r="AD11" s="303"/>
      <c r="AE11" s="304"/>
      <c r="AF11" s="250"/>
      <c r="AG11" s="251"/>
      <c r="AH11" s="305"/>
      <c r="AI11" s="251"/>
      <c r="AJ11" s="293"/>
    </row>
    <row r="12" spans="2:36" ht="24.75" customHeight="1">
      <c r="B12" s="380" t="s">
        <v>22</v>
      </c>
      <c r="C12" s="689">
        <f t="shared" si="0"/>
        <v>96</v>
      </c>
      <c r="D12" s="252"/>
      <c r="E12" s="253">
        <v>96</v>
      </c>
      <c r="F12" s="690">
        <v>8.6</v>
      </c>
      <c r="G12" s="500">
        <f t="shared" si="1"/>
        <v>825.5999999999999</v>
      </c>
      <c r="H12" s="314">
        <f t="shared" si="2"/>
        <v>0</v>
      </c>
      <c r="I12" s="687">
        <f t="shared" si="3"/>
        <v>825.5999999999999</v>
      </c>
      <c r="M12" s="308">
        <f t="shared" si="4"/>
        <v>0</v>
      </c>
      <c r="N12" s="252">
        <f aca="true" t="shared" si="13" ref="N12:O15">K12/3</f>
        <v>0</v>
      </c>
      <c r="O12" s="254">
        <f t="shared" si="13"/>
        <v>0</v>
      </c>
      <c r="P12" s="309">
        <f t="shared" si="5"/>
        <v>70</v>
      </c>
      <c r="Q12" s="310">
        <v>60</v>
      </c>
      <c r="R12" s="311">
        <v>10</v>
      </c>
      <c r="S12" s="312">
        <f t="shared" si="6"/>
        <v>50</v>
      </c>
      <c r="T12" s="307">
        <f>25*2</f>
        <v>50</v>
      </c>
      <c r="U12" s="313"/>
      <c r="V12" s="299">
        <f t="shared" si="7"/>
        <v>84</v>
      </c>
      <c r="W12" s="314">
        <v>84</v>
      </c>
      <c r="X12" s="315"/>
      <c r="Y12" s="316">
        <f t="shared" si="8"/>
        <v>57</v>
      </c>
      <c r="Z12" s="314">
        <v>57</v>
      </c>
      <c r="AA12" s="315"/>
      <c r="AB12" s="316">
        <f t="shared" si="9"/>
        <v>43</v>
      </c>
      <c r="AC12" s="314">
        <v>43</v>
      </c>
      <c r="AD12" s="317"/>
      <c r="AE12" s="318">
        <f t="shared" si="10"/>
        <v>57.33333333333333</v>
      </c>
      <c r="AF12" s="252">
        <f t="shared" si="11"/>
        <v>57.33333333333333</v>
      </c>
      <c r="AG12" s="253">
        <f t="shared" si="12"/>
        <v>0</v>
      </c>
      <c r="AH12" s="319"/>
      <c r="AI12" s="253"/>
      <c r="AJ12" s="254"/>
    </row>
    <row r="13" spans="2:36" ht="24.75" customHeight="1">
      <c r="B13" s="381" t="s">
        <v>23</v>
      </c>
      <c r="C13" s="689">
        <f t="shared" si="0"/>
        <v>460</v>
      </c>
      <c r="D13" s="252">
        <v>460</v>
      </c>
      <c r="E13" s="253"/>
      <c r="F13" s="690">
        <v>10.1</v>
      </c>
      <c r="G13" s="500">
        <f t="shared" si="1"/>
        <v>4646</v>
      </c>
      <c r="H13" s="314">
        <f t="shared" si="2"/>
        <v>4646</v>
      </c>
      <c r="I13" s="687">
        <f t="shared" si="3"/>
        <v>0</v>
      </c>
      <c r="M13" s="308">
        <f t="shared" si="4"/>
        <v>0</v>
      </c>
      <c r="N13" s="252">
        <f t="shared" si="13"/>
        <v>0</v>
      </c>
      <c r="O13" s="254">
        <f t="shared" si="13"/>
        <v>0</v>
      </c>
      <c r="P13" s="309">
        <f t="shared" si="5"/>
        <v>65.2</v>
      </c>
      <c r="Q13" s="310">
        <v>65.2</v>
      </c>
      <c r="R13" s="311">
        <f>O13/3</f>
        <v>0</v>
      </c>
      <c r="S13" s="312">
        <f t="shared" si="6"/>
        <v>52</v>
      </c>
      <c r="T13" s="307">
        <f>26*2</f>
        <v>52</v>
      </c>
      <c r="U13" s="313"/>
      <c r="V13" s="299">
        <f t="shared" si="7"/>
        <v>31.5</v>
      </c>
      <c r="W13" s="314">
        <v>31.5</v>
      </c>
      <c r="X13" s="315"/>
      <c r="Y13" s="316">
        <f t="shared" si="8"/>
        <v>30</v>
      </c>
      <c r="Z13" s="314">
        <v>30</v>
      </c>
      <c r="AA13" s="315"/>
      <c r="AB13" s="316">
        <f t="shared" si="9"/>
        <v>0</v>
      </c>
      <c r="AC13" s="314">
        <v>0</v>
      </c>
      <c r="AD13" s="317"/>
      <c r="AE13" s="318">
        <f t="shared" si="10"/>
        <v>0</v>
      </c>
      <c r="AF13" s="252">
        <f t="shared" si="11"/>
        <v>0</v>
      </c>
      <c r="AG13" s="253">
        <f t="shared" si="12"/>
        <v>0</v>
      </c>
      <c r="AH13" s="319"/>
      <c r="AI13" s="253"/>
      <c r="AJ13" s="254"/>
    </row>
    <row r="14" spans="2:36" ht="24.75" customHeight="1">
      <c r="B14" s="381" t="s">
        <v>75</v>
      </c>
      <c r="C14" s="689">
        <f t="shared" si="0"/>
        <v>150</v>
      </c>
      <c r="D14" s="252">
        <v>150</v>
      </c>
      <c r="E14" s="253"/>
      <c r="F14" s="690">
        <v>11</v>
      </c>
      <c r="G14" s="500">
        <f t="shared" si="1"/>
        <v>1650</v>
      </c>
      <c r="H14" s="314">
        <f t="shared" si="2"/>
        <v>1650</v>
      </c>
      <c r="I14" s="687">
        <f t="shared" si="3"/>
        <v>0</v>
      </c>
      <c r="M14" s="308">
        <f>N14+O14</f>
        <v>0</v>
      </c>
      <c r="N14" s="252">
        <f t="shared" si="13"/>
        <v>0</v>
      </c>
      <c r="O14" s="254">
        <f t="shared" si="13"/>
        <v>0</v>
      </c>
      <c r="P14" s="309">
        <f>Q14+R14</f>
        <v>568.1</v>
      </c>
      <c r="Q14" s="310">
        <v>568.1</v>
      </c>
      <c r="R14" s="311">
        <f>O14/3</f>
        <v>0</v>
      </c>
      <c r="S14" s="312">
        <f>T14+U14</f>
        <v>412</v>
      </c>
      <c r="T14" s="307">
        <f>206*2</f>
        <v>412</v>
      </c>
      <c r="U14" s="313"/>
      <c r="V14" s="299">
        <f>W14+X14</f>
        <v>444</v>
      </c>
      <c r="W14" s="314">
        <v>444</v>
      </c>
      <c r="X14" s="315"/>
      <c r="Y14" s="316">
        <f>Z14+AA14</f>
        <v>480</v>
      </c>
      <c r="Z14" s="314">
        <v>480</v>
      </c>
      <c r="AA14" s="315"/>
      <c r="AB14" s="316">
        <f>AC14+AD14</f>
        <v>309</v>
      </c>
      <c r="AC14" s="314">
        <v>309</v>
      </c>
      <c r="AD14" s="317"/>
      <c r="AE14" s="318">
        <f>AF14+AG14</f>
        <v>412</v>
      </c>
      <c r="AF14" s="252">
        <f>AC14/9*12</f>
        <v>412</v>
      </c>
      <c r="AG14" s="253">
        <f>AD14/9*12</f>
        <v>0</v>
      </c>
      <c r="AH14" s="319"/>
      <c r="AI14" s="253"/>
      <c r="AJ14" s="254"/>
    </row>
    <row r="15" spans="2:36" ht="24.75" customHeight="1">
      <c r="B15" s="381" t="s">
        <v>30</v>
      </c>
      <c r="C15" s="689">
        <f t="shared" si="0"/>
        <v>100</v>
      </c>
      <c r="D15" s="252">
        <v>100</v>
      </c>
      <c r="E15" s="253"/>
      <c r="F15" s="690">
        <v>8.9</v>
      </c>
      <c r="G15" s="500">
        <f t="shared" si="1"/>
        <v>890</v>
      </c>
      <c r="H15" s="314">
        <f t="shared" si="2"/>
        <v>890</v>
      </c>
      <c r="I15" s="687">
        <f t="shared" si="3"/>
        <v>0</v>
      </c>
      <c r="M15" s="308">
        <f>N15+O15</f>
        <v>0</v>
      </c>
      <c r="N15" s="252">
        <f t="shared" si="13"/>
        <v>0</v>
      </c>
      <c r="O15" s="254">
        <f t="shared" si="13"/>
        <v>0</v>
      </c>
      <c r="P15" s="309">
        <f>Q15+R15</f>
        <v>135.3</v>
      </c>
      <c r="Q15" s="310">
        <f>N15/3</f>
        <v>0</v>
      </c>
      <c r="R15" s="311">
        <v>135.3</v>
      </c>
      <c r="S15" s="312">
        <f>T15+U15</f>
        <v>102</v>
      </c>
      <c r="T15" s="307"/>
      <c r="U15" s="313">
        <f>51*2</f>
        <v>102</v>
      </c>
      <c r="V15" s="299">
        <f>W15+X15</f>
        <v>88.5</v>
      </c>
      <c r="W15" s="314"/>
      <c r="X15" s="315">
        <v>88.5</v>
      </c>
      <c r="Y15" s="316">
        <f>Z15+AA15</f>
        <v>111</v>
      </c>
      <c r="Z15" s="314"/>
      <c r="AA15" s="315">
        <v>111</v>
      </c>
      <c r="AB15" s="316">
        <f>AC15+AD15</f>
        <v>57</v>
      </c>
      <c r="AC15" s="314"/>
      <c r="AD15" s="317">
        <v>57</v>
      </c>
      <c r="AE15" s="318">
        <f>AF15+AG15</f>
        <v>76</v>
      </c>
      <c r="AF15" s="252">
        <f>AC15/9*12</f>
        <v>0</v>
      </c>
      <c r="AG15" s="253">
        <f>AD15/9*12</f>
        <v>76</v>
      </c>
      <c r="AH15" s="319"/>
      <c r="AI15" s="253"/>
      <c r="AJ15" s="254"/>
    </row>
    <row r="16" spans="2:36" ht="24.75" customHeight="1">
      <c r="B16" s="698" t="s">
        <v>64</v>
      </c>
      <c r="C16" s="689">
        <f t="shared" si="0"/>
        <v>50</v>
      </c>
      <c r="D16" s="252">
        <v>50</v>
      </c>
      <c r="E16" s="253"/>
      <c r="F16" s="597">
        <v>10.7</v>
      </c>
      <c r="G16" s="500">
        <f t="shared" si="1"/>
        <v>535</v>
      </c>
      <c r="H16" s="314">
        <f t="shared" si="2"/>
        <v>535</v>
      </c>
      <c r="I16" s="687">
        <f t="shared" si="3"/>
        <v>0</v>
      </c>
      <c r="M16" s="308"/>
      <c r="N16" s="252"/>
      <c r="O16" s="254"/>
      <c r="P16" s="309"/>
      <c r="Q16" s="310"/>
      <c r="R16" s="311"/>
      <c r="S16" s="312"/>
      <c r="T16" s="307"/>
      <c r="U16" s="313"/>
      <c r="V16" s="299"/>
      <c r="W16" s="314"/>
      <c r="X16" s="315"/>
      <c r="Y16" s="316"/>
      <c r="Z16" s="314"/>
      <c r="AA16" s="315"/>
      <c r="AB16" s="316"/>
      <c r="AC16" s="314"/>
      <c r="AD16" s="317"/>
      <c r="AE16" s="318"/>
      <c r="AF16" s="252"/>
      <c r="AG16" s="253"/>
      <c r="AH16" s="319"/>
      <c r="AI16" s="253"/>
      <c r="AJ16" s="254"/>
    </row>
    <row r="17" spans="2:36" ht="24.75" customHeight="1">
      <c r="B17" s="381" t="s">
        <v>281</v>
      </c>
      <c r="C17" s="689">
        <v>100</v>
      </c>
      <c r="D17" s="252">
        <v>100</v>
      </c>
      <c r="E17" s="253"/>
      <c r="F17" s="597">
        <v>7.7</v>
      </c>
      <c r="G17" s="500">
        <f t="shared" si="1"/>
        <v>770</v>
      </c>
      <c r="H17" s="314">
        <f t="shared" si="2"/>
        <v>770</v>
      </c>
      <c r="I17" s="687">
        <f t="shared" si="3"/>
        <v>0</v>
      </c>
      <c r="M17" s="308"/>
      <c r="N17" s="252"/>
      <c r="O17" s="254"/>
      <c r="P17" s="309"/>
      <c r="Q17" s="310"/>
      <c r="R17" s="311"/>
      <c r="S17" s="312"/>
      <c r="T17" s="307"/>
      <c r="U17" s="313"/>
      <c r="V17" s="299"/>
      <c r="W17" s="314"/>
      <c r="X17" s="315"/>
      <c r="Y17" s="316"/>
      <c r="Z17" s="314"/>
      <c r="AA17" s="315"/>
      <c r="AB17" s="316"/>
      <c r="AC17" s="314"/>
      <c r="AD17" s="317"/>
      <c r="AE17" s="318"/>
      <c r="AF17" s="252"/>
      <c r="AG17" s="253"/>
      <c r="AH17" s="319"/>
      <c r="AI17" s="253"/>
      <c r="AJ17" s="254"/>
    </row>
    <row r="18" spans="2:36" ht="24.75" customHeight="1">
      <c r="B18" s="381" t="s">
        <v>29</v>
      </c>
      <c r="C18" s="689">
        <f aca="true" t="shared" si="14" ref="C18:C26">D18+E18</f>
        <v>200</v>
      </c>
      <c r="D18" s="252">
        <v>150</v>
      </c>
      <c r="E18" s="253">
        <v>50</v>
      </c>
      <c r="F18" s="690">
        <v>8.9</v>
      </c>
      <c r="G18" s="500">
        <f t="shared" si="1"/>
        <v>1780</v>
      </c>
      <c r="H18" s="314">
        <f t="shared" si="2"/>
        <v>1335</v>
      </c>
      <c r="I18" s="687">
        <f t="shared" si="3"/>
        <v>445</v>
      </c>
      <c r="M18" s="308">
        <f t="shared" si="4"/>
        <v>0</v>
      </c>
      <c r="N18" s="252">
        <f>K18/3</f>
        <v>0</v>
      </c>
      <c r="O18" s="254">
        <f>L18/3</f>
        <v>0</v>
      </c>
      <c r="P18" s="309">
        <f t="shared" si="5"/>
        <v>500</v>
      </c>
      <c r="Q18" s="310">
        <f>N18/3</f>
        <v>0</v>
      </c>
      <c r="R18" s="311">
        <v>500</v>
      </c>
      <c r="S18" s="312">
        <f t="shared" si="6"/>
        <v>610</v>
      </c>
      <c r="T18" s="307"/>
      <c r="U18" s="313">
        <f>305*2</f>
        <v>610</v>
      </c>
      <c r="V18" s="299">
        <f t="shared" si="7"/>
        <v>388.5</v>
      </c>
      <c r="W18" s="314"/>
      <c r="X18" s="315">
        <v>388.5</v>
      </c>
      <c r="Y18" s="316">
        <f t="shared" si="8"/>
        <v>480</v>
      </c>
      <c r="Z18" s="314"/>
      <c r="AA18" s="315">
        <v>480</v>
      </c>
      <c r="AB18" s="316">
        <f t="shared" si="9"/>
        <v>178</v>
      </c>
      <c r="AC18" s="314"/>
      <c r="AD18" s="317">
        <v>178</v>
      </c>
      <c r="AE18" s="318">
        <f t="shared" si="10"/>
        <v>237.33333333333334</v>
      </c>
      <c r="AF18" s="252">
        <f t="shared" si="11"/>
        <v>0</v>
      </c>
      <c r="AG18" s="253">
        <f t="shared" si="12"/>
        <v>237.33333333333334</v>
      </c>
      <c r="AH18" s="319"/>
      <c r="AI18" s="253"/>
      <c r="AJ18" s="254"/>
    </row>
    <row r="19" spans="2:36" ht="24.75" customHeight="1">
      <c r="B19" s="381" t="s">
        <v>67</v>
      </c>
      <c r="C19" s="689">
        <f>D19+E19</f>
        <v>200</v>
      </c>
      <c r="D19" s="252">
        <v>200</v>
      </c>
      <c r="E19" s="253"/>
      <c r="F19" s="690">
        <v>6.3</v>
      </c>
      <c r="G19" s="500">
        <f t="shared" si="1"/>
        <v>1260</v>
      </c>
      <c r="H19" s="314">
        <f t="shared" si="2"/>
        <v>1260</v>
      </c>
      <c r="I19" s="687">
        <f t="shared" si="3"/>
        <v>0</v>
      </c>
      <c r="M19" s="320">
        <f>N19+O19</f>
        <v>0</v>
      </c>
      <c r="N19" s="321">
        <f>K19/3</f>
        <v>0</v>
      </c>
      <c r="O19" s="322">
        <f>L19/3</f>
        <v>0</v>
      </c>
      <c r="P19" s="323">
        <f>Q19+R19</f>
        <v>243.7</v>
      </c>
      <c r="Q19" s="324">
        <v>243.7</v>
      </c>
      <c r="R19" s="325">
        <f>O19/3</f>
        <v>0</v>
      </c>
      <c r="S19" s="312">
        <f>T19+U19</f>
        <v>280</v>
      </c>
      <c r="T19" s="307">
        <f>140*2</f>
        <v>280</v>
      </c>
      <c r="U19" s="313"/>
      <c r="V19" s="299">
        <f>W19+X19</f>
        <v>256.5</v>
      </c>
      <c r="W19" s="314">
        <v>253.5</v>
      </c>
      <c r="X19" s="315">
        <v>3</v>
      </c>
      <c r="Y19" s="316">
        <f>Z19+AA19</f>
        <v>250</v>
      </c>
      <c r="Z19" s="314">
        <v>250</v>
      </c>
      <c r="AA19" s="315"/>
      <c r="AB19" s="316">
        <f>AC19+AD19</f>
        <v>185</v>
      </c>
      <c r="AC19" s="314">
        <v>185</v>
      </c>
      <c r="AD19" s="317"/>
      <c r="AE19" s="318">
        <f>AF19+AG19</f>
        <v>246.66666666666669</v>
      </c>
      <c r="AF19" s="252">
        <f aca="true" t="shared" si="15" ref="AF19:AG22">AC19/9*12</f>
        <v>246.66666666666669</v>
      </c>
      <c r="AG19" s="253">
        <f t="shared" si="15"/>
        <v>0</v>
      </c>
      <c r="AH19" s="319"/>
      <c r="AI19" s="253"/>
      <c r="AJ19" s="254"/>
    </row>
    <row r="20" spans="2:36" ht="24.75" customHeight="1">
      <c r="B20" s="381" t="s">
        <v>47</v>
      </c>
      <c r="C20" s="689">
        <f>D20+E20</f>
        <v>100</v>
      </c>
      <c r="D20" s="252">
        <v>70</v>
      </c>
      <c r="E20" s="253">
        <v>30</v>
      </c>
      <c r="F20" s="690">
        <v>7.6</v>
      </c>
      <c r="G20" s="500">
        <f t="shared" si="1"/>
        <v>760</v>
      </c>
      <c r="H20" s="314">
        <f t="shared" si="2"/>
        <v>532</v>
      </c>
      <c r="I20" s="687">
        <f t="shared" si="3"/>
        <v>228</v>
      </c>
      <c r="M20" s="308">
        <f>N20+O20</f>
        <v>0</v>
      </c>
      <c r="N20" s="252">
        <f>K20/3</f>
        <v>0</v>
      </c>
      <c r="O20" s="254">
        <f>L20/1</f>
        <v>0</v>
      </c>
      <c r="P20" s="309">
        <f>Q20+R20</f>
        <v>74.7</v>
      </c>
      <c r="Q20" s="310">
        <v>61</v>
      </c>
      <c r="R20" s="311">
        <v>13.7</v>
      </c>
      <c r="S20" s="312">
        <f>T20+U20</f>
        <v>96</v>
      </c>
      <c r="T20" s="307">
        <f>45*2</f>
        <v>90</v>
      </c>
      <c r="U20" s="313">
        <f>3*2</f>
        <v>6</v>
      </c>
      <c r="V20" s="299">
        <f>W20+X20</f>
        <v>106.5</v>
      </c>
      <c r="W20" s="314">
        <v>97.5</v>
      </c>
      <c r="X20" s="315">
        <v>9</v>
      </c>
      <c r="Y20" s="316">
        <f>Z20+AA20</f>
        <v>96</v>
      </c>
      <c r="Z20" s="314">
        <v>87</v>
      </c>
      <c r="AA20" s="315">
        <v>9</v>
      </c>
      <c r="AB20" s="316">
        <f>AC20+AD20</f>
        <v>90</v>
      </c>
      <c r="AC20" s="314">
        <v>75</v>
      </c>
      <c r="AD20" s="317">
        <v>15</v>
      </c>
      <c r="AE20" s="318">
        <f>AF20+AG20</f>
        <v>120</v>
      </c>
      <c r="AF20" s="252">
        <f t="shared" si="15"/>
        <v>100</v>
      </c>
      <c r="AG20" s="253">
        <f t="shared" si="15"/>
        <v>20</v>
      </c>
      <c r="AH20" s="319"/>
      <c r="AI20" s="253"/>
      <c r="AJ20" s="254"/>
    </row>
    <row r="21" spans="2:36" ht="24.75" customHeight="1">
      <c r="B21" s="381" t="s">
        <v>27</v>
      </c>
      <c r="C21" s="689">
        <f>D21+E21</f>
        <v>569</v>
      </c>
      <c r="D21" s="252">
        <v>509</v>
      </c>
      <c r="E21" s="253">
        <v>60</v>
      </c>
      <c r="F21" s="690">
        <v>12.1</v>
      </c>
      <c r="G21" s="500">
        <f t="shared" si="1"/>
        <v>6884.9</v>
      </c>
      <c r="H21" s="314">
        <f t="shared" si="2"/>
        <v>6158.9</v>
      </c>
      <c r="I21" s="687">
        <f t="shared" si="3"/>
        <v>726</v>
      </c>
      <c r="M21" s="308">
        <f>N21+O21</f>
        <v>0</v>
      </c>
      <c r="N21" s="252">
        <f>K21/3</f>
        <v>0</v>
      </c>
      <c r="O21" s="254">
        <f>L21/3</f>
        <v>0</v>
      </c>
      <c r="P21" s="309">
        <f>Q21+R21</f>
        <v>50</v>
      </c>
      <c r="Q21" s="310">
        <v>45</v>
      </c>
      <c r="R21" s="311">
        <v>5</v>
      </c>
      <c r="S21" s="312">
        <f>T21+U21</f>
        <v>20</v>
      </c>
      <c r="T21" s="307">
        <f>10*2</f>
        <v>20</v>
      </c>
      <c r="U21" s="313"/>
      <c r="V21" s="299">
        <f>W21+X21</f>
        <v>31.5</v>
      </c>
      <c r="W21" s="314">
        <v>31.5</v>
      </c>
      <c r="X21" s="315"/>
      <c r="Y21" s="316">
        <f>Z21+AA21</f>
        <v>30</v>
      </c>
      <c r="Z21" s="314">
        <v>30</v>
      </c>
      <c r="AA21" s="315"/>
      <c r="AB21" s="316">
        <f>AC21+AD21</f>
        <v>37</v>
      </c>
      <c r="AC21" s="314">
        <v>37</v>
      </c>
      <c r="AD21" s="317"/>
      <c r="AE21" s="318">
        <f>AF21+AG21</f>
        <v>49.33333333333333</v>
      </c>
      <c r="AF21" s="252">
        <f t="shared" si="15"/>
        <v>49.33333333333333</v>
      </c>
      <c r="AG21" s="253">
        <f t="shared" si="15"/>
        <v>0</v>
      </c>
      <c r="AH21" s="319"/>
      <c r="AI21" s="253"/>
      <c r="AJ21" s="254"/>
    </row>
    <row r="22" spans="2:36" ht="24.75" customHeight="1">
      <c r="B22" s="381" t="s">
        <v>36</v>
      </c>
      <c r="C22" s="689">
        <f>D22+E22</f>
        <v>100</v>
      </c>
      <c r="D22" s="252">
        <v>100</v>
      </c>
      <c r="E22" s="253"/>
      <c r="F22" s="690">
        <v>12.3</v>
      </c>
      <c r="G22" s="500">
        <f t="shared" si="1"/>
        <v>1230</v>
      </c>
      <c r="H22" s="314">
        <f t="shared" si="2"/>
        <v>1230</v>
      </c>
      <c r="I22" s="687">
        <f t="shared" si="3"/>
        <v>0</v>
      </c>
      <c r="M22" s="320">
        <f>N22+O22</f>
        <v>0</v>
      </c>
      <c r="N22" s="321">
        <f>K22/3</f>
        <v>0</v>
      </c>
      <c r="O22" s="322">
        <f>L22/3</f>
        <v>0</v>
      </c>
      <c r="P22" s="323">
        <f>Q22+R22</f>
        <v>49.6</v>
      </c>
      <c r="Q22" s="324">
        <v>49.6</v>
      </c>
      <c r="R22" s="325">
        <f>O22/3</f>
        <v>0</v>
      </c>
      <c r="S22" s="312">
        <f>T22+U22</f>
        <v>64</v>
      </c>
      <c r="T22" s="307">
        <f>32*2</f>
        <v>64</v>
      </c>
      <c r="U22" s="313"/>
      <c r="V22" s="299">
        <f>W22+X22</f>
        <v>48</v>
      </c>
      <c r="W22" s="314">
        <v>48</v>
      </c>
      <c r="X22" s="315"/>
      <c r="Y22" s="316">
        <f>Z22+AA22</f>
        <v>50</v>
      </c>
      <c r="Z22" s="314">
        <v>50</v>
      </c>
      <c r="AA22" s="315"/>
      <c r="AB22" s="316">
        <f>AC22+AD22</f>
        <v>39</v>
      </c>
      <c r="AC22" s="314">
        <v>39</v>
      </c>
      <c r="AD22" s="317"/>
      <c r="AE22" s="318">
        <f>AF22+AG22</f>
        <v>52</v>
      </c>
      <c r="AF22" s="252">
        <f t="shared" si="15"/>
        <v>52</v>
      </c>
      <c r="AG22" s="253">
        <f t="shared" si="15"/>
        <v>0</v>
      </c>
      <c r="AH22" s="319"/>
      <c r="AI22" s="253"/>
      <c r="AJ22" s="254"/>
    </row>
    <row r="23" spans="2:36" ht="32.25" customHeight="1">
      <c r="B23" s="381" t="s">
        <v>148</v>
      </c>
      <c r="C23" s="689">
        <f t="shared" si="14"/>
        <v>150</v>
      </c>
      <c r="D23" s="252">
        <v>150</v>
      </c>
      <c r="E23" s="253"/>
      <c r="F23" s="690">
        <v>7.7</v>
      </c>
      <c r="G23" s="500">
        <f t="shared" si="1"/>
        <v>1155</v>
      </c>
      <c r="H23" s="314">
        <f t="shared" si="2"/>
        <v>1155</v>
      </c>
      <c r="I23" s="687">
        <f t="shared" si="3"/>
        <v>0</v>
      </c>
      <c r="M23" s="308">
        <f t="shared" si="4"/>
        <v>0</v>
      </c>
      <c r="N23" s="252">
        <f>K23/3</f>
        <v>0</v>
      </c>
      <c r="O23" s="254">
        <f>L23/3</f>
        <v>0</v>
      </c>
      <c r="P23" s="309">
        <f t="shared" si="5"/>
        <v>134</v>
      </c>
      <c r="Q23" s="310">
        <v>134</v>
      </c>
      <c r="R23" s="311">
        <f>O23/3</f>
        <v>0</v>
      </c>
      <c r="S23" s="312">
        <f t="shared" si="6"/>
        <v>196</v>
      </c>
      <c r="T23" s="307">
        <f>98*2</f>
        <v>196</v>
      </c>
      <c r="U23" s="313"/>
      <c r="V23" s="299">
        <f t="shared" si="7"/>
        <v>159</v>
      </c>
      <c r="W23" s="314">
        <v>159</v>
      </c>
      <c r="X23" s="315"/>
      <c r="Y23" s="316">
        <f t="shared" si="8"/>
        <v>141</v>
      </c>
      <c r="Z23" s="314">
        <v>141</v>
      </c>
      <c r="AA23" s="315"/>
      <c r="AB23" s="316">
        <f t="shared" si="9"/>
        <v>95</v>
      </c>
      <c r="AC23" s="314">
        <v>95</v>
      </c>
      <c r="AD23" s="317"/>
      <c r="AE23" s="318">
        <f t="shared" si="10"/>
        <v>126.66666666666666</v>
      </c>
      <c r="AF23" s="252">
        <f t="shared" si="11"/>
        <v>126.66666666666666</v>
      </c>
      <c r="AG23" s="253">
        <f t="shared" si="12"/>
        <v>0</v>
      </c>
      <c r="AH23" s="319"/>
      <c r="AI23" s="253"/>
      <c r="AJ23" s="254"/>
    </row>
    <row r="24" spans="2:36" ht="24.75" customHeight="1" thickBot="1">
      <c r="B24" s="381" t="s">
        <v>76</v>
      </c>
      <c r="C24" s="689">
        <f t="shared" si="14"/>
        <v>50</v>
      </c>
      <c r="D24" s="252">
        <v>50</v>
      </c>
      <c r="E24" s="253"/>
      <c r="F24" s="691"/>
      <c r="G24" s="500">
        <f t="shared" si="1"/>
        <v>0</v>
      </c>
      <c r="H24" s="314">
        <f t="shared" si="2"/>
        <v>0</v>
      </c>
      <c r="I24" s="687">
        <f t="shared" si="3"/>
        <v>0</v>
      </c>
      <c r="M24" s="308">
        <f t="shared" si="4"/>
        <v>0</v>
      </c>
      <c r="N24" s="252">
        <f aca="true" t="shared" si="16" ref="N24:N31">K24/3</f>
        <v>0</v>
      </c>
      <c r="O24" s="254">
        <f>L24/1</f>
        <v>0</v>
      </c>
      <c r="P24" s="309">
        <f t="shared" si="5"/>
        <v>308.5</v>
      </c>
      <c r="Q24" s="310">
        <v>184.2</v>
      </c>
      <c r="R24" s="311">
        <v>124.3</v>
      </c>
      <c r="S24" s="312">
        <f t="shared" si="6"/>
        <v>288</v>
      </c>
      <c r="T24" s="307">
        <f>96*2</f>
        <v>192</v>
      </c>
      <c r="U24" s="313">
        <f>48*2</f>
        <v>96</v>
      </c>
      <c r="V24" s="299">
        <f t="shared" si="7"/>
        <v>253.5</v>
      </c>
      <c r="W24" s="314">
        <v>171</v>
      </c>
      <c r="X24" s="315">
        <v>82.5</v>
      </c>
      <c r="Y24" s="316">
        <f t="shared" si="8"/>
        <v>315</v>
      </c>
      <c r="Z24" s="314">
        <v>235</v>
      </c>
      <c r="AA24" s="315">
        <v>80</v>
      </c>
      <c r="AB24" s="316">
        <f t="shared" si="9"/>
        <v>185</v>
      </c>
      <c r="AC24" s="314">
        <v>123</v>
      </c>
      <c r="AD24" s="317">
        <v>62</v>
      </c>
      <c r="AE24" s="318">
        <f t="shared" si="10"/>
        <v>246.66666666666669</v>
      </c>
      <c r="AF24" s="252">
        <f t="shared" si="11"/>
        <v>164</v>
      </c>
      <c r="AG24" s="253">
        <f t="shared" si="12"/>
        <v>82.66666666666667</v>
      </c>
      <c r="AH24" s="319"/>
      <c r="AI24" s="253"/>
      <c r="AJ24" s="254"/>
    </row>
    <row r="25" spans="2:36" ht="19.5" customHeight="1" hidden="1" thickBot="1">
      <c r="B25" s="382" t="s">
        <v>77</v>
      </c>
      <c r="C25" s="692">
        <f t="shared" si="14"/>
        <v>0</v>
      </c>
      <c r="D25" s="255"/>
      <c r="E25" s="256"/>
      <c r="F25" s="693"/>
      <c r="G25" s="510">
        <f t="shared" si="1"/>
        <v>0</v>
      </c>
      <c r="H25" s="337"/>
      <c r="I25" s="694"/>
      <c r="M25" s="308">
        <f t="shared" si="4"/>
        <v>0</v>
      </c>
      <c r="N25" s="252">
        <f t="shared" si="16"/>
        <v>0</v>
      </c>
      <c r="O25" s="254">
        <f>L25/1</f>
        <v>0</v>
      </c>
      <c r="P25" s="309">
        <f t="shared" si="5"/>
        <v>89.9</v>
      </c>
      <c r="Q25" s="310">
        <v>73.7</v>
      </c>
      <c r="R25" s="311">
        <v>16.2</v>
      </c>
      <c r="S25" s="312">
        <f t="shared" si="6"/>
        <v>64</v>
      </c>
      <c r="T25" s="307">
        <f>31*2</f>
        <v>62</v>
      </c>
      <c r="U25" s="313">
        <f>1*2</f>
        <v>2</v>
      </c>
      <c r="V25" s="299">
        <f t="shared" si="7"/>
        <v>55.5</v>
      </c>
      <c r="W25" s="314">
        <v>43.5</v>
      </c>
      <c r="X25" s="315">
        <v>12</v>
      </c>
      <c r="Y25" s="316">
        <f t="shared" si="8"/>
        <v>77</v>
      </c>
      <c r="Z25" s="314">
        <v>67</v>
      </c>
      <c r="AA25" s="315">
        <v>10</v>
      </c>
      <c r="AB25" s="316">
        <f t="shared" si="9"/>
        <v>0</v>
      </c>
      <c r="AC25" s="314"/>
      <c r="AD25" s="317"/>
      <c r="AE25" s="318">
        <f t="shared" si="10"/>
        <v>0</v>
      </c>
      <c r="AF25" s="252">
        <f t="shared" si="11"/>
        <v>0</v>
      </c>
      <c r="AG25" s="253">
        <f t="shared" si="12"/>
        <v>0</v>
      </c>
      <c r="AH25" s="319"/>
      <c r="AI25" s="253"/>
      <c r="AJ25" s="254"/>
    </row>
    <row r="26" spans="2:36" ht="31.5" customHeight="1" thickBot="1">
      <c r="B26" s="702" t="s">
        <v>40</v>
      </c>
      <c r="C26" s="703">
        <f t="shared" si="14"/>
        <v>2375</v>
      </c>
      <c r="D26" s="704">
        <f>SUM(D9:D25)</f>
        <v>2139</v>
      </c>
      <c r="E26" s="704">
        <f>SUM(E9:E25)</f>
        <v>236</v>
      </c>
      <c r="F26" s="752">
        <f>G26/C26</f>
        <v>9.425894736842105</v>
      </c>
      <c r="G26" s="518">
        <f t="shared" si="1"/>
        <v>22386.5</v>
      </c>
      <c r="H26" s="695">
        <f>SUM(H12:H25)</f>
        <v>20161.9</v>
      </c>
      <c r="I26" s="491">
        <f>SUM(I12:I25)</f>
        <v>2224.6</v>
      </c>
      <c r="M26" s="308">
        <f t="shared" si="4"/>
        <v>0</v>
      </c>
      <c r="N26" s="252">
        <f t="shared" si="16"/>
        <v>0</v>
      </c>
      <c r="O26" s="254">
        <f>L26/3</f>
        <v>0</v>
      </c>
      <c r="P26" s="309">
        <f t="shared" si="5"/>
        <v>333.3</v>
      </c>
      <c r="Q26" s="310">
        <v>333.3</v>
      </c>
      <c r="R26" s="311">
        <f>O26/3</f>
        <v>0</v>
      </c>
      <c r="S26" s="312">
        <f t="shared" si="6"/>
        <v>416</v>
      </c>
      <c r="T26" s="307">
        <f>208*2</f>
        <v>416</v>
      </c>
      <c r="U26" s="313"/>
      <c r="V26" s="299">
        <f t="shared" si="7"/>
        <v>438</v>
      </c>
      <c r="W26" s="314">
        <v>436.5</v>
      </c>
      <c r="X26" s="315">
        <v>1.5</v>
      </c>
      <c r="Y26" s="316">
        <f t="shared" si="8"/>
        <v>305</v>
      </c>
      <c r="Z26" s="314">
        <v>305</v>
      </c>
      <c r="AA26" s="315"/>
      <c r="AB26" s="316">
        <f t="shared" si="9"/>
        <v>289</v>
      </c>
      <c r="AC26" s="314">
        <v>289</v>
      </c>
      <c r="AD26" s="317"/>
      <c r="AE26" s="318">
        <f t="shared" si="10"/>
        <v>385.33333333333337</v>
      </c>
      <c r="AF26" s="252">
        <f t="shared" si="11"/>
        <v>385.33333333333337</v>
      </c>
      <c r="AG26" s="253">
        <f t="shared" si="12"/>
        <v>0</v>
      </c>
      <c r="AH26" s="319"/>
      <c r="AI26" s="253"/>
      <c r="AJ26" s="254"/>
    </row>
    <row r="27" spans="2:36" ht="26.25" customHeight="1" thickBot="1">
      <c r="B27" s="699" t="s">
        <v>48</v>
      </c>
      <c r="C27" s="707">
        <f>'приложение 1'!M11</f>
        <v>40</v>
      </c>
      <c r="D27" s="247"/>
      <c r="E27" s="247"/>
      <c r="F27" s="753"/>
      <c r="G27" s="701">
        <f>C27*F27</f>
        <v>0</v>
      </c>
      <c r="H27" s="696"/>
      <c r="I27" s="697"/>
      <c r="M27" s="320">
        <f t="shared" si="4"/>
        <v>0</v>
      </c>
      <c r="N27" s="321">
        <f t="shared" si="16"/>
        <v>0</v>
      </c>
      <c r="O27" s="322">
        <f>L27/3</f>
        <v>0</v>
      </c>
      <c r="P27" s="323">
        <f t="shared" si="5"/>
        <v>43.8</v>
      </c>
      <c r="Q27" s="324">
        <v>43.8</v>
      </c>
      <c r="R27" s="325">
        <f>O27/3</f>
        <v>0</v>
      </c>
      <c r="S27" s="312">
        <f t="shared" si="6"/>
        <v>32</v>
      </c>
      <c r="T27" s="307">
        <f>16*2</f>
        <v>32</v>
      </c>
      <c r="U27" s="313"/>
      <c r="V27" s="299">
        <f t="shared" si="7"/>
        <v>36</v>
      </c>
      <c r="W27" s="314">
        <v>36</v>
      </c>
      <c r="X27" s="315"/>
      <c r="Y27" s="316">
        <f t="shared" si="8"/>
        <v>42</v>
      </c>
      <c r="Z27" s="314">
        <v>42</v>
      </c>
      <c r="AA27" s="315"/>
      <c r="AB27" s="316">
        <f t="shared" si="9"/>
        <v>18</v>
      </c>
      <c r="AC27" s="314">
        <v>18</v>
      </c>
      <c r="AD27" s="317"/>
      <c r="AE27" s="318">
        <f t="shared" si="10"/>
        <v>24</v>
      </c>
      <c r="AF27" s="252">
        <f t="shared" si="11"/>
        <v>24</v>
      </c>
      <c r="AG27" s="253">
        <f t="shared" si="12"/>
        <v>0</v>
      </c>
      <c r="AH27" s="319"/>
      <c r="AI27" s="253"/>
      <c r="AJ27" s="254"/>
    </row>
    <row r="28" spans="2:36" ht="42" customHeight="1" thickBot="1">
      <c r="B28" s="700" t="s">
        <v>49</v>
      </c>
      <c r="C28" s="705">
        <f>'приложение 1'!M12</f>
        <v>2414.805696</v>
      </c>
      <c r="D28" s="696"/>
      <c r="E28" s="696"/>
      <c r="F28" s="706"/>
      <c r="G28" s="701">
        <f>G26+G27</f>
        <v>22386.5</v>
      </c>
      <c r="H28" s="696"/>
      <c r="I28" s="697"/>
      <c r="M28" s="308">
        <f t="shared" si="4"/>
        <v>0</v>
      </c>
      <c r="N28" s="252">
        <f t="shared" si="16"/>
        <v>0</v>
      </c>
      <c r="O28" s="254">
        <f>L28/2</f>
        <v>0</v>
      </c>
      <c r="P28" s="309">
        <f t="shared" si="5"/>
        <v>1679.1</v>
      </c>
      <c r="Q28" s="310">
        <v>239.1</v>
      </c>
      <c r="R28" s="311">
        <v>1440</v>
      </c>
      <c r="S28" s="312">
        <f t="shared" si="6"/>
        <v>2150</v>
      </c>
      <c r="T28" s="307">
        <f>146*2</f>
        <v>292</v>
      </c>
      <c r="U28" s="313">
        <f>929*2</f>
        <v>1858</v>
      </c>
      <c r="V28" s="299">
        <f t="shared" si="7"/>
        <v>1981.5</v>
      </c>
      <c r="W28" s="314">
        <v>313.5</v>
      </c>
      <c r="X28" s="315">
        <v>1668</v>
      </c>
      <c r="Y28" s="316">
        <f t="shared" si="8"/>
        <v>1622</v>
      </c>
      <c r="Z28" s="314">
        <v>255</v>
      </c>
      <c r="AA28" s="315">
        <v>1367</v>
      </c>
      <c r="AB28" s="316">
        <f t="shared" si="9"/>
        <v>852</v>
      </c>
      <c r="AC28" s="314">
        <v>175</v>
      </c>
      <c r="AD28" s="317">
        <v>677</v>
      </c>
      <c r="AE28" s="318">
        <f t="shared" si="10"/>
        <v>1136</v>
      </c>
      <c r="AF28" s="252">
        <f t="shared" si="11"/>
        <v>233.33333333333331</v>
      </c>
      <c r="AG28" s="253">
        <f t="shared" si="12"/>
        <v>902.6666666666667</v>
      </c>
      <c r="AH28" s="319"/>
      <c r="AI28" s="253"/>
      <c r="AJ28" s="254"/>
    </row>
    <row r="29" spans="2:36" ht="18" customHeight="1" hidden="1">
      <c r="B29" s="663"/>
      <c r="C29" s="230">
        <f>C28-C27</f>
        <v>2374.805696</v>
      </c>
      <c r="D29" s="230">
        <f>C29-C26</f>
        <v>-0.19430400000010195</v>
      </c>
      <c r="E29" s="383"/>
      <c r="F29" s="383"/>
      <c r="G29" s="383"/>
      <c r="H29" s="383"/>
      <c r="I29" s="384"/>
      <c r="M29" s="320">
        <f t="shared" si="4"/>
        <v>0</v>
      </c>
      <c r="N29" s="321">
        <f t="shared" si="16"/>
        <v>0</v>
      </c>
      <c r="O29" s="322">
        <f>L29/3</f>
        <v>0</v>
      </c>
      <c r="P29" s="323">
        <f t="shared" si="5"/>
        <v>843.1</v>
      </c>
      <c r="Q29" s="324">
        <v>843.1</v>
      </c>
      <c r="R29" s="325">
        <f>O29/3</f>
        <v>0</v>
      </c>
      <c r="S29" s="312">
        <f t="shared" si="6"/>
        <v>924</v>
      </c>
      <c r="T29" s="307">
        <f>462*2</f>
        <v>924</v>
      </c>
      <c r="U29" s="313"/>
      <c r="V29" s="299">
        <f t="shared" si="7"/>
        <v>1216.5</v>
      </c>
      <c r="W29" s="314">
        <v>1216.5</v>
      </c>
      <c r="X29" s="315"/>
      <c r="Y29" s="316">
        <f t="shared" si="8"/>
        <v>830</v>
      </c>
      <c r="Z29" s="314">
        <v>830</v>
      </c>
      <c r="AA29" s="315"/>
      <c r="AB29" s="316">
        <f t="shared" si="9"/>
        <v>431</v>
      </c>
      <c r="AC29" s="314">
        <v>431</v>
      </c>
      <c r="AD29" s="317"/>
      <c r="AE29" s="318">
        <f t="shared" si="10"/>
        <v>574.6666666666666</v>
      </c>
      <c r="AF29" s="252">
        <f t="shared" si="11"/>
        <v>574.6666666666666</v>
      </c>
      <c r="AG29" s="253">
        <f t="shared" si="12"/>
        <v>0</v>
      </c>
      <c r="AH29" s="319"/>
      <c r="AI29" s="253"/>
      <c r="AJ29" s="254"/>
    </row>
    <row r="30" spans="2:36" ht="25.5" customHeight="1">
      <c r="B30" s="258"/>
      <c r="C30" s="385"/>
      <c r="D30" s="385"/>
      <c r="E30" s="385"/>
      <c r="F30" s="385"/>
      <c r="G30" s="385"/>
      <c r="H30" s="385"/>
      <c r="I30" s="386"/>
      <c r="M30" s="328">
        <f t="shared" si="4"/>
        <v>0</v>
      </c>
      <c r="N30" s="329">
        <f t="shared" si="16"/>
        <v>0</v>
      </c>
      <c r="O30" s="330">
        <f>L30/3</f>
        <v>0</v>
      </c>
      <c r="P30" s="331">
        <f t="shared" si="5"/>
        <v>445.3</v>
      </c>
      <c r="Q30" s="332">
        <v>445.3</v>
      </c>
      <c r="R30" s="333">
        <f>O30/3</f>
        <v>0</v>
      </c>
      <c r="S30" s="334">
        <f t="shared" si="6"/>
        <v>386</v>
      </c>
      <c r="T30" s="327">
        <f>193*2</f>
        <v>386</v>
      </c>
      <c r="U30" s="335"/>
      <c r="V30" s="336">
        <f t="shared" si="7"/>
        <v>981</v>
      </c>
      <c r="W30" s="337">
        <v>981</v>
      </c>
      <c r="X30" s="338"/>
      <c r="Y30" s="316">
        <f t="shared" si="8"/>
        <v>369</v>
      </c>
      <c r="Z30" s="314">
        <v>369</v>
      </c>
      <c r="AA30" s="315"/>
      <c r="AB30" s="316">
        <f t="shared" si="9"/>
        <v>377</v>
      </c>
      <c r="AC30" s="314">
        <v>377</v>
      </c>
      <c r="AD30" s="317"/>
      <c r="AE30" s="318">
        <f t="shared" si="10"/>
        <v>502.66666666666663</v>
      </c>
      <c r="AF30" s="252">
        <f t="shared" si="11"/>
        <v>502.66666666666663</v>
      </c>
      <c r="AG30" s="253">
        <f t="shared" si="12"/>
        <v>0</v>
      </c>
      <c r="AH30" s="319"/>
      <c r="AI30" s="253"/>
      <c r="AJ30" s="254"/>
    </row>
    <row r="31" spans="3:36" ht="28.5" customHeight="1">
      <c r="C31" s="231"/>
      <c r="D31" s="231"/>
      <c r="E31" s="231"/>
      <c r="F31" s="231"/>
      <c r="G31" s="231"/>
      <c r="H31" s="231"/>
      <c r="M31" s="328">
        <f t="shared" si="4"/>
        <v>0</v>
      </c>
      <c r="N31" s="329">
        <f t="shared" si="16"/>
        <v>0</v>
      </c>
      <c r="O31" s="330">
        <f>L31/1</f>
        <v>0</v>
      </c>
      <c r="P31" s="331">
        <f t="shared" si="5"/>
        <v>809.6</v>
      </c>
      <c r="Q31" s="332">
        <v>519.1</v>
      </c>
      <c r="R31" s="333">
        <v>290.5</v>
      </c>
      <c r="S31" s="334">
        <f t="shared" si="6"/>
        <v>840</v>
      </c>
      <c r="T31" s="327">
        <f>239*2</f>
        <v>478</v>
      </c>
      <c r="U31" s="335">
        <f>181*2</f>
        <v>362</v>
      </c>
      <c r="V31" s="336">
        <f t="shared" si="7"/>
        <v>910.5</v>
      </c>
      <c r="W31" s="337">
        <v>502.5</v>
      </c>
      <c r="X31" s="338">
        <v>408</v>
      </c>
      <c r="Y31" s="339">
        <f t="shared" si="8"/>
        <v>808</v>
      </c>
      <c r="Z31" s="337">
        <v>506</v>
      </c>
      <c r="AA31" s="338">
        <v>302</v>
      </c>
      <c r="AB31" s="339">
        <f t="shared" si="9"/>
        <v>460</v>
      </c>
      <c r="AC31" s="337">
        <v>221</v>
      </c>
      <c r="AD31" s="340">
        <v>239</v>
      </c>
      <c r="AE31" s="341">
        <f t="shared" si="10"/>
        <v>613.3333333333334</v>
      </c>
      <c r="AF31" s="255">
        <f t="shared" si="11"/>
        <v>294.6666666666667</v>
      </c>
      <c r="AG31" s="256">
        <f t="shared" si="12"/>
        <v>318.6666666666667</v>
      </c>
      <c r="AH31" s="342"/>
      <c r="AI31" s="256"/>
      <c r="AJ31" s="257"/>
    </row>
    <row r="32" spans="13:36" ht="17.25" thickBot="1">
      <c r="M32" s="343"/>
      <c r="N32" s="329"/>
      <c r="O32" s="329"/>
      <c r="P32" s="344"/>
      <c r="Q32" s="332"/>
      <c r="R32" s="332"/>
      <c r="S32" s="345"/>
      <c r="T32" s="327"/>
      <c r="U32" s="327"/>
      <c r="V32" s="337"/>
      <c r="W32" s="337"/>
      <c r="X32" s="337"/>
      <c r="Y32" s="346"/>
      <c r="Z32" s="337"/>
      <c r="AA32" s="338"/>
      <c r="AB32" s="339"/>
      <c r="AC32" s="337"/>
      <c r="AD32" s="340"/>
      <c r="AE32" s="341"/>
      <c r="AF32" s="255"/>
      <c r="AG32" s="256"/>
      <c r="AH32" s="342"/>
      <c r="AI32" s="256"/>
      <c r="AJ32" s="257"/>
    </row>
    <row r="33" spans="13:36" ht="30" customHeight="1" thickBot="1">
      <c r="M33" s="349">
        <f>N33+O33</f>
        <v>0</v>
      </c>
      <c r="N33" s="350">
        <f>K33/3</f>
        <v>0</v>
      </c>
      <c r="O33" s="351">
        <f>L33/3</f>
        <v>0</v>
      </c>
      <c r="P33" s="352">
        <f>Q33+R33</f>
        <v>6064.3</v>
      </c>
      <c r="Q33" s="353">
        <f aca="true" t="shared" si="17" ref="Q33:X33">SUM(Q9:Q30)</f>
        <v>3819.8</v>
      </c>
      <c r="R33" s="354">
        <f t="shared" si="17"/>
        <v>2244.5</v>
      </c>
      <c r="S33" s="355">
        <f t="shared" si="17"/>
        <v>6634</v>
      </c>
      <c r="T33" s="348">
        <f t="shared" si="17"/>
        <v>3960</v>
      </c>
      <c r="U33" s="356">
        <f t="shared" si="17"/>
        <v>2674</v>
      </c>
      <c r="V33" s="357">
        <f t="shared" si="17"/>
        <v>6930</v>
      </c>
      <c r="W33" s="358">
        <f t="shared" si="17"/>
        <v>4677</v>
      </c>
      <c r="X33" s="359">
        <f t="shared" si="17"/>
        <v>2253</v>
      </c>
      <c r="Y33" s="360">
        <f>Z33+AA33</f>
        <v>6513</v>
      </c>
      <c r="Z33" s="358">
        <f>SUM(Z9:Z31)</f>
        <v>4154</v>
      </c>
      <c r="AA33" s="359">
        <f>SUM(AA9:AA31)</f>
        <v>2359</v>
      </c>
      <c r="AB33" s="360">
        <f>AC33+AD33</f>
        <v>3991</v>
      </c>
      <c r="AC33" s="358">
        <f>SUM(AC9:AC31)</f>
        <v>2763</v>
      </c>
      <c r="AD33" s="359">
        <f>SUM(AD9:AD31)</f>
        <v>1228</v>
      </c>
      <c r="AE33" s="361">
        <f>AF33+AG33</f>
        <v>5321.333333333334</v>
      </c>
      <c r="AF33" s="362">
        <f>AC33/9*12</f>
        <v>3684</v>
      </c>
      <c r="AG33" s="363">
        <f>AD33/9*12</f>
        <v>1637.3333333333335</v>
      </c>
      <c r="AH33" s="361">
        <v>421</v>
      </c>
      <c r="AI33" s="350"/>
      <c r="AJ33" s="364"/>
    </row>
    <row r="34" spans="13:36" ht="39" customHeight="1">
      <c r="M34" s="365"/>
      <c r="N34" s="350"/>
      <c r="O34" s="350"/>
      <c r="P34" s="366"/>
      <c r="Q34" s="353"/>
      <c r="R34" s="353"/>
      <c r="S34" s="367"/>
      <c r="T34" s="348"/>
      <c r="U34" s="348"/>
      <c r="V34" s="358"/>
      <c r="W34" s="358"/>
      <c r="X34" s="358"/>
      <c r="Y34" s="358"/>
      <c r="Z34" s="358"/>
      <c r="AA34" s="358"/>
      <c r="AB34" s="358"/>
      <c r="AC34" s="358"/>
      <c r="AD34" s="358"/>
      <c r="AE34" s="350"/>
      <c r="AF34" s="362"/>
      <c r="AG34" s="362"/>
      <c r="AH34" s="350"/>
      <c r="AI34" s="350"/>
      <c r="AJ34" s="350"/>
    </row>
    <row r="35" spans="2:36" ht="27" customHeight="1">
      <c r="B35" s="269"/>
      <c r="C35" s="391"/>
      <c r="D35" s="391"/>
      <c r="E35" s="391"/>
      <c r="F35" s="391"/>
      <c r="G35" s="391"/>
      <c r="H35" s="391"/>
      <c r="I35" s="391"/>
      <c r="J35" s="165"/>
      <c r="K35" s="165"/>
      <c r="L35" s="165"/>
      <c r="M35" s="392"/>
      <c r="N35" s="393"/>
      <c r="O35" s="393"/>
      <c r="P35" s="394"/>
      <c r="Q35" s="395"/>
      <c r="R35" s="395"/>
      <c r="S35" s="396"/>
      <c r="T35" s="397"/>
      <c r="U35" s="397"/>
      <c r="V35" s="398"/>
      <c r="W35" s="398"/>
      <c r="X35" s="398"/>
      <c r="Y35" s="398"/>
      <c r="Z35" s="398"/>
      <c r="AA35" s="398"/>
      <c r="AB35" s="398"/>
      <c r="AC35" s="398"/>
      <c r="AD35" s="398"/>
      <c r="AE35" s="393"/>
      <c r="AF35" s="399"/>
      <c r="AG35" s="399"/>
      <c r="AH35" s="393"/>
      <c r="AI35" s="393"/>
      <c r="AJ35" s="393"/>
    </row>
    <row r="36" spans="2:36" ht="15"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893"/>
      <c r="AJ36" s="893"/>
    </row>
    <row r="37" spans="2:36" ht="15">
      <c r="B37" s="892"/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892"/>
      <c r="R37" s="892"/>
      <c r="S37" s="892"/>
      <c r="T37" s="892"/>
      <c r="U37" s="892"/>
      <c r="V37" s="892"/>
      <c r="W37" s="892"/>
      <c r="X37" s="892"/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2"/>
      <c r="AJ37" s="892"/>
    </row>
    <row r="38" spans="19:36" ht="15">
      <c r="S38" s="372"/>
      <c r="T38" s="372"/>
      <c r="U38" s="372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4"/>
      <c r="AG38" s="264"/>
      <c r="AH38" s="264"/>
      <c r="AI38" s="264"/>
      <c r="AJ38" s="264"/>
    </row>
    <row r="39" spans="22:36" ht="15"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4"/>
      <c r="AG39" s="264"/>
      <c r="AH39" s="264"/>
      <c r="AI39" s="264"/>
      <c r="AJ39" s="264"/>
    </row>
    <row r="40" spans="22:36" ht="15"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4"/>
      <c r="AG40" s="264"/>
      <c r="AH40" s="264"/>
      <c r="AI40" s="264"/>
      <c r="AJ40" s="264"/>
    </row>
    <row r="41" spans="22:36" ht="15"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4"/>
      <c r="AG41" s="264"/>
      <c r="AH41" s="264"/>
      <c r="AI41" s="264"/>
      <c r="AJ41" s="264"/>
    </row>
    <row r="42" spans="22:36" ht="15"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4"/>
      <c r="AG42" s="264"/>
      <c r="AH42" s="264"/>
      <c r="AI42" s="264"/>
      <c r="AJ42" s="264"/>
    </row>
    <row r="43" spans="22:36" ht="15"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4"/>
      <c r="AG43" s="264"/>
      <c r="AH43" s="264"/>
      <c r="AI43" s="264"/>
      <c r="AJ43" s="264"/>
    </row>
    <row r="44" spans="22:36" ht="15"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8"/>
      <c r="AG44" s="268"/>
      <c r="AH44" s="268"/>
      <c r="AI44" s="268"/>
      <c r="AJ44" s="268"/>
    </row>
    <row r="47" ht="15">
      <c r="AK47" s="374"/>
    </row>
    <row r="48" ht="15">
      <c r="AK48" s="374"/>
    </row>
    <row r="60" ht="15" customHeight="1" hidden="1"/>
    <row r="61" ht="15.75" customHeight="1" hidden="1" thickBot="1"/>
    <row r="62" ht="15" customHeight="1" hidden="1"/>
    <row r="63" ht="65.25" customHeight="1" hidden="1"/>
    <row r="64" ht="15" customHeight="1" hidden="1" thickBot="1"/>
    <row r="65" ht="15.75" customHeight="1" hidden="1" thickBot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.75" customHeight="1" hidden="1" thickBot="1"/>
    <row r="88" ht="15.75" customHeight="1" hidden="1" thickBot="1"/>
    <row r="89" ht="15" customHeight="1" hidden="1"/>
    <row r="90" ht="15" customHeight="1" hidden="1"/>
    <row r="91" ht="15" customHeight="1" hidden="1"/>
    <row r="92" ht="15.75" customHeight="1" hidden="1" thickBot="1"/>
    <row r="93" ht="15" customHeight="1" hidden="1"/>
    <row r="94" ht="65.25" customHeight="1" hidden="1"/>
    <row r="95" ht="15" customHeight="1" hidden="1" thickBot="1"/>
    <row r="96" ht="15.75" customHeight="1" hidden="1" thickBot="1"/>
    <row r="97" ht="15.75" customHeight="1" hidden="1" thickBot="1"/>
    <row r="98" ht="15.75" customHeight="1" hidden="1" thickBot="1"/>
    <row r="99" ht="15" customHeight="1" hidden="1"/>
    <row r="100" ht="15" customHeight="1" hidden="1"/>
    <row r="101" ht="15" customHeight="1" hidden="1"/>
    <row r="102" ht="15.75" customHeight="1" hidden="1" thickBot="1"/>
    <row r="103" ht="15" customHeight="1" hidden="1"/>
    <row r="104" ht="65.25" customHeight="1" hidden="1"/>
    <row r="105" ht="15" customHeight="1" hidden="1" thickBot="1"/>
    <row r="106" ht="15.75" customHeight="1" hidden="1" thickBot="1"/>
    <row r="107" ht="15.75" customHeight="1" hidden="1" thickBot="1"/>
    <row r="108" ht="15.75" customHeight="1" hidden="1" thickBot="1"/>
    <row r="109" ht="15" customHeight="1" hidden="1"/>
    <row r="110" ht="15" customHeight="1" hidden="1"/>
    <row r="111" ht="15" customHeight="1" hidden="1"/>
    <row r="112" ht="15.75" customHeight="1" hidden="1" thickBot="1"/>
    <row r="113" ht="15" customHeight="1" hidden="1"/>
    <row r="114" ht="65.25" customHeight="1" hidden="1"/>
    <row r="115" ht="15" customHeight="1" hidden="1" thickBot="1"/>
    <row r="116" ht="15.75" customHeight="1" hidden="1" thickBot="1"/>
    <row r="117" ht="15.75" customHeight="1" hidden="1" thickBot="1"/>
    <row r="118" ht="15.75" customHeight="1" hidden="1" thickBot="1"/>
    <row r="119" ht="15" customHeight="1" hidden="1"/>
    <row r="120" ht="15" customHeight="1" hidden="1"/>
    <row r="121" ht="15.75" customHeight="1" hidden="1" thickBot="1"/>
    <row r="122" ht="15" customHeight="1" hidden="1"/>
    <row r="123" ht="65.25" customHeight="1" hidden="1"/>
    <row r="124" ht="15" customHeight="1" hidden="1" thickBot="1"/>
    <row r="125" ht="15.75" customHeight="1" hidden="1" thickBot="1"/>
    <row r="126" ht="15" customHeight="1" hidden="1"/>
    <row r="127" ht="15" customHeight="1" hidden="1"/>
    <row r="128" ht="15" customHeight="1" hidden="1"/>
    <row r="129" ht="15" customHeight="1" hidden="1"/>
    <row r="130" ht="15.75" customHeight="1" hidden="1" thickBot="1"/>
    <row r="131" ht="15.75" customHeight="1" hidden="1" thickBot="1"/>
    <row r="132" ht="15" customHeight="1" hidden="1"/>
    <row r="133" ht="15" customHeight="1" hidden="1"/>
    <row r="134" ht="15.75" customHeight="1" hidden="1" thickBot="1"/>
    <row r="135" ht="15" customHeight="1" hidden="1"/>
    <row r="136" ht="65.25" customHeight="1" hidden="1"/>
    <row r="137" ht="15" customHeight="1" hidden="1" thickBot="1"/>
    <row r="138" ht="15.75" customHeight="1" hidden="1" thickBot="1"/>
    <row r="139" ht="15.75" customHeight="1" hidden="1" thickBot="1"/>
    <row r="140" ht="15.75" customHeight="1" hidden="1" thickBot="1"/>
    <row r="141" ht="15" customHeight="1" hidden="1"/>
    <row r="142" ht="15" customHeight="1" hidden="1"/>
    <row r="143" ht="15.75" customHeight="1" hidden="1" thickBot="1"/>
    <row r="144" ht="15" customHeight="1" hidden="1"/>
    <row r="145" ht="65.25" customHeight="1" hidden="1"/>
    <row r="146" ht="15" customHeight="1" hidden="1" thickBot="1"/>
    <row r="147" ht="15.75" customHeight="1" hidden="1" thickBot="1"/>
    <row r="148" ht="15" customHeight="1" hidden="1"/>
    <row r="149" ht="15.75" customHeight="1" hidden="1" thickBot="1"/>
    <row r="150" ht="15.75" customHeight="1" hidden="1" thickBot="1"/>
    <row r="151" ht="15" customHeight="1" hidden="1"/>
  </sheetData>
  <sheetProtection/>
  <mergeCells count="37">
    <mergeCell ref="F1:I1"/>
    <mergeCell ref="H6:I6"/>
    <mergeCell ref="AE6:AE7"/>
    <mergeCell ref="AF6:AG6"/>
    <mergeCell ref="P6:P7"/>
    <mergeCell ref="Q6:R6"/>
    <mergeCell ref="W6:X6"/>
    <mergeCell ref="T6:U6"/>
    <mergeCell ref="S5:U5"/>
    <mergeCell ref="Y6:Y7"/>
    <mergeCell ref="B37:AJ37"/>
    <mergeCell ref="B36:AJ36"/>
    <mergeCell ref="AI6:AJ6"/>
    <mergeCell ref="AC6:AD6"/>
    <mergeCell ref="V6:V7"/>
    <mergeCell ref="AE5:AG5"/>
    <mergeCell ref="AH5:AJ5"/>
    <mergeCell ref="AH6:AH7"/>
    <mergeCell ref="G6:G7"/>
    <mergeCell ref="AB5:AD5"/>
    <mergeCell ref="M6:M7"/>
    <mergeCell ref="N6:O6"/>
    <mergeCell ref="Z6:AA6"/>
    <mergeCell ref="AB6:AB7"/>
    <mergeCell ref="Y5:AA5"/>
    <mergeCell ref="M5:O5"/>
    <mergeCell ref="P5:R5"/>
    <mergeCell ref="B4:B7"/>
    <mergeCell ref="C5:E5"/>
    <mergeCell ref="D6:E6"/>
    <mergeCell ref="C6:C7"/>
    <mergeCell ref="B3:I3"/>
    <mergeCell ref="V5:X5"/>
    <mergeCell ref="C4:I4"/>
    <mergeCell ref="G5:I5"/>
    <mergeCell ref="F5:F7"/>
    <mergeCell ref="S6:S7"/>
  </mergeCells>
  <printOptions/>
  <pageMargins left="0.18" right="0.28" top="0.35" bottom="0.3" header="0.31496062992125984" footer="0.31496062992125984"/>
  <pageSetup fitToHeight="0" horizontalDpi="600" verticalDpi="600" orientation="landscape" paperSize="9" scale="64" r:id="rId1"/>
  <rowBreaks count="1" manualBreakCount="1">
    <brk id="28" max="22" man="1"/>
  </rowBreaks>
  <colBreaks count="1" manualBreakCount="1">
    <brk id="12" max="1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34"/>
  <sheetViews>
    <sheetView view="pageBreakPreview" zoomScale="70" zoomScaleSheetLayoutView="70" zoomScalePageLayoutView="0" workbookViewId="0" topLeftCell="A13">
      <selection activeCell="B22" sqref="B22"/>
    </sheetView>
  </sheetViews>
  <sheetFormatPr defaultColWidth="9.140625" defaultRowHeight="15"/>
  <cols>
    <col min="1" max="1" width="67.57421875" style="20" customWidth="1"/>
    <col min="2" max="2" width="14.8515625" style="56" customWidth="1"/>
    <col min="3" max="3" width="19.140625" style="20" customWidth="1"/>
    <col min="4" max="4" width="16.57421875" style="56" customWidth="1"/>
    <col min="5" max="5" width="20.8515625" style="20" customWidth="1"/>
    <col min="6" max="6" width="16.8515625" style="20" customWidth="1"/>
    <col min="7" max="7" width="22.57421875" style="20" customWidth="1"/>
    <col min="8" max="8" width="18.140625" style="61" hidden="1" customWidth="1"/>
    <col min="9" max="9" width="15.8515625" style="20" hidden="1" customWidth="1"/>
    <col min="10" max="10" width="12.7109375" style="20" customWidth="1"/>
    <col min="11" max="11" width="19.140625" style="20" customWidth="1"/>
    <col min="12" max="12" width="13.00390625" style="20" customWidth="1"/>
    <col min="13" max="13" width="13.8515625" style="20" customWidth="1"/>
    <col min="14" max="14" width="12.421875" style="20" customWidth="1"/>
    <col min="15" max="15" width="10.57421875" style="20" customWidth="1"/>
    <col min="16" max="16384" width="9.140625" style="20" customWidth="1"/>
  </cols>
  <sheetData>
    <row r="1" spans="1:7" ht="63" customHeight="1">
      <c r="A1" s="61"/>
      <c r="B1" s="62"/>
      <c r="C1" s="61"/>
      <c r="E1" s="904" t="s">
        <v>295</v>
      </c>
      <c r="F1" s="904"/>
      <c r="G1" s="904"/>
    </row>
    <row r="2" spans="1:7" ht="22.5" customHeight="1">
      <c r="A2" s="61"/>
      <c r="B2" s="62"/>
      <c r="C2" s="61"/>
      <c r="D2" s="126"/>
      <c r="E2" s="126"/>
      <c r="F2" s="126"/>
      <c r="G2" s="126"/>
    </row>
    <row r="3" spans="1:7" ht="23.25" customHeight="1">
      <c r="A3" s="911" t="s">
        <v>277</v>
      </c>
      <c r="B3" s="911"/>
      <c r="C3" s="911"/>
      <c r="D3" s="911"/>
      <c r="E3" s="911"/>
      <c r="F3" s="911"/>
      <c r="G3" s="622"/>
    </row>
    <row r="4" spans="1:7" ht="15.75" thickBot="1">
      <c r="A4" s="61"/>
      <c r="B4" s="62"/>
      <c r="C4" s="61"/>
      <c r="D4" s="62"/>
      <c r="E4" s="61"/>
      <c r="F4" s="61"/>
      <c r="G4" s="61"/>
    </row>
    <row r="5" spans="1:9" ht="30" customHeight="1" thickBot="1">
      <c r="A5" s="914" t="s">
        <v>82</v>
      </c>
      <c r="B5" s="915" t="s">
        <v>223</v>
      </c>
      <c r="C5" s="916"/>
      <c r="D5" s="471" t="s">
        <v>79</v>
      </c>
      <c r="E5" s="473"/>
      <c r="F5" s="919" t="s">
        <v>183</v>
      </c>
      <c r="G5" s="920"/>
      <c r="H5" s="631"/>
      <c r="I5" s="46"/>
    </row>
    <row r="6" spans="1:9" ht="64.5" customHeight="1" thickBot="1">
      <c r="A6" s="775"/>
      <c r="B6" s="917"/>
      <c r="C6" s="918"/>
      <c r="D6" s="912" t="s">
        <v>274</v>
      </c>
      <c r="E6" s="913"/>
      <c r="F6" s="921"/>
      <c r="G6" s="922"/>
      <c r="H6" s="631"/>
      <c r="I6" s="46"/>
    </row>
    <row r="7" spans="1:9" s="465" customFormat="1" ht="24.75" customHeight="1" thickBot="1">
      <c r="A7" s="462"/>
      <c r="B7" s="576" t="s">
        <v>146</v>
      </c>
      <c r="C7" s="577" t="s">
        <v>147</v>
      </c>
      <c r="D7" s="463" t="s">
        <v>146</v>
      </c>
      <c r="E7" s="637" t="s">
        <v>147</v>
      </c>
      <c r="F7" s="463" t="s">
        <v>146</v>
      </c>
      <c r="G7" s="464" t="s">
        <v>147</v>
      </c>
      <c r="H7" s="632"/>
      <c r="I7" s="626"/>
    </row>
    <row r="8" spans="1:10" ht="24.75" customHeight="1" thickBot="1">
      <c r="A8" s="747" t="s">
        <v>81</v>
      </c>
      <c r="B8" s="748">
        <f>ROUND('приложение 1'!C11,0)</f>
        <v>176</v>
      </c>
      <c r="C8" s="733">
        <v>500000</v>
      </c>
      <c r="D8" s="748">
        <f>ROUND('приложение 1'!C10,0)</f>
        <v>11897</v>
      </c>
      <c r="E8" s="668">
        <f>G8-C8</f>
        <v>32803888.72</v>
      </c>
      <c r="F8" s="735">
        <f>B8+D8</f>
        <v>12073</v>
      </c>
      <c r="G8" s="736">
        <v>33303888.72</v>
      </c>
      <c r="H8" s="633">
        <v>28194498.36</v>
      </c>
      <c r="I8" s="628">
        <f>H8-G8</f>
        <v>-5109390.359999999</v>
      </c>
      <c r="J8" s="27"/>
    </row>
    <row r="9" spans="1:9" ht="29.25" customHeight="1" thickBot="1">
      <c r="A9" s="908" t="s">
        <v>224</v>
      </c>
      <c r="B9" s="909"/>
      <c r="C9" s="909"/>
      <c r="D9" s="909"/>
      <c r="E9" s="909"/>
      <c r="F9" s="909"/>
      <c r="G9" s="910"/>
      <c r="H9" s="633"/>
      <c r="I9" s="625"/>
    </row>
    <row r="10" spans="1:20" ht="34.5" customHeight="1" thickBot="1">
      <c r="A10" s="749" t="s">
        <v>149</v>
      </c>
      <c r="B10" s="750">
        <f>ROUND('приложение 1'!G11,0)</f>
        <v>2800</v>
      </c>
      <c r="C10" s="739">
        <v>850000</v>
      </c>
      <c r="D10" s="751">
        <f>ROUND('приложение 1'!G10,0)</f>
        <v>91771</v>
      </c>
      <c r="E10" s="740">
        <f>G10-C10</f>
        <v>52214201.6</v>
      </c>
      <c r="F10" s="741">
        <f>B10+D10</f>
        <v>94571</v>
      </c>
      <c r="G10" s="742">
        <v>53064201.6</v>
      </c>
      <c r="H10" s="633">
        <v>45664698.33</v>
      </c>
      <c r="I10" s="628">
        <f>H10-G10</f>
        <v>-7399503.270000003</v>
      </c>
      <c r="J10" s="27"/>
      <c r="K10" s="46"/>
      <c r="L10" s="46"/>
      <c r="M10" s="46"/>
      <c r="N10" s="46"/>
      <c r="T10" s="47"/>
    </row>
    <row r="11" spans="1:20" ht="19.5" customHeight="1">
      <c r="A11" s="466" t="s">
        <v>89</v>
      </c>
      <c r="B11" s="586"/>
      <c r="C11" s="580"/>
      <c r="D11" s="593"/>
      <c r="E11" s="575"/>
      <c r="F11" s="710"/>
      <c r="G11" s="717"/>
      <c r="H11" s="633"/>
      <c r="I11" s="625"/>
      <c r="J11" s="27"/>
      <c r="K11" s="46"/>
      <c r="L11" s="46"/>
      <c r="M11" s="46"/>
      <c r="N11" s="46"/>
      <c r="T11" s="47"/>
    </row>
    <row r="12" spans="1:20" ht="19.5" customHeight="1">
      <c r="A12" s="574" t="s">
        <v>226</v>
      </c>
      <c r="B12" s="67"/>
      <c r="C12" s="581"/>
      <c r="D12" s="113"/>
      <c r="E12" s="65"/>
      <c r="F12" s="711"/>
      <c r="G12" s="718"/>
      <c r="H12" s="633"/>
      <c r="I12" s="625"/>
      <c r="J12" s="27"/>
      <c r="K12" s="46"/>
      <c r="L12" s="46"/>
      <c r="M12" s="46"/>
      <c r="N12" s="46"/>
      <c r="T12" s="47"/>
    </row>
    <row r="13" spans="1:20" ht="19.5" customHeight="1">
      <c r="A13" s="574" t="s">
        <v>247</v>
      </c>
      <c r="B13" s="67"/>
      <c r="C13" s="581"/>
      <c r="D13" s="113"/>
      <c r="E13" s="65"/>
      <c r="F13" s="711"/>
      <c r="G13" s="718"/>
      <c r="H13" s="633"/>
      <c r="I13" s="625"/>
      <c r="J13" s="27"/>
      <c r="K13" s="46"/>
      <c r="L13" s="46"/>
      <c r="M13" s="46"/>
      <c r="N13" s="46"/>
      <c r="T13" s="47"/>
    </row>
    <row r="14" spans="1:20" ht="19.5" customHeight="1" thickBot="1">
      <c r="A14" s="574" t="s">
        <v>227</v>
      </c>
      <c r="B14" s="582"/>
      <c r="C14" s="583"/>
      <c r="D14" s="584"/>
      <c r="E14" s="585"/>
      <c r="F14" s="712"/>
      <c r="G14" s="719"/>
      <c r="H14" s="633"/>
      <c r="I14" s="625"/>
      <c r="J14" s="27"/>
      <c r="K14" s="46"/>
      <c r="L14" s="46"/>
      <c r="M14" s="46"/>
      <c r="N14" s="46"/>
      <c r="T14" s="47"/>
    </row>
    <row r="15" spans="1:20" ht="31.5" customHeight="1" thickBot="1">
      <c r="A15" s="80" t="s">
        <v>150</v>
      </c>
      <c r="B15" s="589">
        <f>ROUND('приложение 1'!I11,0)</f>
        <v>1060</v>
      </c>
      <c r="C15" s="590">
        <v>900000</v>
      </c>
      <c r="D15" s="591">
        <f>ROUND('приложение 1'!I10,0)</f>
        <v>78621</v>
      </c>
      <c r="E15" s="592">
        <f>G15-C15</f>
        <v>124354670.76</v>
      </c>
      <c r="F15" s="709">
        <f>B15+D15</f>
        <v>79681</v>
      </c>
      <c r="G15" s="715">
        <v>125254670.76</v>
      </c>
      <c r="H15" s="634">
        <v>107794849.84</v>
      </c>
      <c r="I15" s="628">
        <f>H15-G15</f>
        <v>-17459820.92</v>
      </c>
      <c r="J15" s="27"/>
      <c r="K15" s="46"/>
      <c r="L15" s="46"/>
      <c r="M15" s="46"/>
      <c r="N15" s="46"/>
      <c r="T15" s="47"/>
    </row>
    <row r="16" spans="1:20" ht="24.75" customHeight="1">
      <c r="A16" s="80" t="s">
        <v>248</v>
      </c>
      <c r="B16" s="586"/>
      <c r="C16" s="580"/>
      <c r="D16" s="587"/>
      <c r="E16" s="575"/>
      <c r="F16" s="588"/>
      <c r="G16" s="717"/>
      <c r="H16" s="633"/>
      <c r="I16" s="625"/>
      <c r="J16" s="27"/>
      <c r="K16" s="46"/>
      <c r="L16" s="46"/>
      <c r="M16" s="46"/>
      <c r="N16" s="46"/>
      <c r="T16" s="47"/>
    </row>
    <row r="17" spans="1:20" ht="24.75" customHeight="1">
      <c r="A17" s="574" t="s">
        <v>247</v>
      </c>
      <c r="B17" s="67"/>
      <c r="C17" s="581"/>
      <c r="D17" s="573"/>
      <c r="E17" s="65"/>
      <c r="F17" s="470"/>
      <c r="G17" s="718"/>
      <c r="H17" s="633"/>
      <c r="I17" s="625"/>
      <c r="J17" s="27"/>
      <c r="K17" s="46"/>
      <c r="L17" s="46"/>
      <c r="M17" s="46"/>
      <c r="N17" s="46"/>
      <c r="T17" s="47"/>
    </row>
    <row r="18" spans="1:20" ht="24.75" customHeight="1" thickBot="1">
      <c r="A18" s="574" t="s">
        <v>227</v>
      </c>
      <c r="B18" s="582"/>
      <c r="C18" s="583"/>
      <c r="D18" s="584"/>
      <c r="E18" s="585"/>
      <c r="F18" s="595"/>
      <c r="G18" s="719"/>
      <c r="H18" s="633"/>
      <c r="I18" s="625"/>
      <c r="J18" s="27"/>
      <c r="K18" s="46"/>
      <c r="L18" s="46"/>
      <c r="M18" s="46"/>
      <c r="N18" s="46"/>
      <c r="T18" s="47"/>
    </row>
    <row r="19" spans="1:20" ht="36.75" customHeight="1" thickBot="1">
      <c r="A19" s="731" t="s">
        <v>249</v>
      </c>
      <c r="B19" s="732">
        <f>ROUND('приложение 1'!H11,0)</f>
        <v>100</v>
      </c>
      <c r="C19" s="733">
        <v>60000</v>
      </c>
      <c r="D19" s="734">
        <f>ROUND('приложение 1'!H10,0)</f>
        <v>22436</v>
      </c>
      <c r="E19" s="668">
        <f>G19-C19</f>
        <v>16128844.68</v>
      </c>
      <c r="F19" s="735">
        <f>B19+D19</f>
        <v>22536</v>
      </c>
      <c r="G19" s="736">
        <v>16188844.68</v>
      </c>
      <c r="H19" s="633">
        <v>13930265.72</v>
      </c>
      <c r="I19" s="628">
        <f>H19-G19</f>
        <v>-2258578.959999999</v>
      </c>
      <c r="J19" s="27"/>
      <c r="K19" s="46"/>
      <c r="L19" s="46"/>
      <c r="M19" s="46"/>
      <c r="N19" s="46"/>
      <c r="T19" s="47"/>
    </row>
    <row r="20" spans="1:20" ht="26.25" customHeight="1" thickBot="1">
      <c r="A20" s="905" t="s">
        <v>43</v>
      </c>
      <c r="B20" s="906"/>
      <c r="C20" s="906"/>
      <c r="D20" s="906"/>
      <c r="E20" s="906"/>
      <c r="F20" s="906"/>
      <c r="G20" s="907"/>
      <c r="H20" s="633"/>
      <c r="I20" s="625"/>
      <c r="J20" s="27"/>
      <c r="K20" s="46"/>
      <c r="L20" s="46"/>
      <c r="M20" s="46"/>
      <c r="N20" s="46"/>
      <c r="T20" s="47"/>
    </row>
    <row r="21" spans="1:14" ht="26.25" customHeight="1" thickBot="1">
      <c r="A21" s="737" t="s">
        <v>201</v>
      </c>
      <c r="B21" s="738">
        <f>ROUND('приложение 1'!J11,0)</f>
        <v>692</v>
      </c>
      <c r="C21" s="739">
        <f>31840000-450000</f>
        <v>31390000</v>
      </c>
      <c r="D21" s="738">
        <f>ROUND('приложение 1'!J10,0)</f>
        <v>6244</v>
      </c>
      <c r="E21" s="740">
        <f>G21-C21</f>
        <v>225873390.05</v>
      </c>
      <c r="F21" s="741">
        <f>B21+D21</f>
        <v>6936</v>
      </c>
      <c r="G21" s="742">
        <f>257263575.12-185.07</f>
        <v>257263390.05</v>
      </c>
      <c r="H21" s="633">
        <v>216066228.28</v>
      </c>
      <c r="I21" s="628">
        <f>H21-G21</f>
        <v>-41197161.77000001</v>
      </c>
      <c r="J21" s="46"/>
      <c r="K21" s="46"/>
      <c r="L21" s="46"/>
      <c r="M21" s="46"/>
      <c r="N21" s="46"/>
    </row>
    <row r="22" spans="1:14" ht="21" customHeight="1">
      <c r="A22" s="84" t="s">
        <v>90</v>
      </c>
      <c r="B22" s="621">
        <f>'Приложение 2.4 -КС'!G32</f>
        <v>6366.4</v>
      </c>
      <c r="C22" s="638"/>
      <c r="D22" s="621">
        <f>'Приложение 2.4 -КС'!G31</f>
        <v>53455.6</v>
      </c>
      <c r="E22" s="575"/>
      <c r="F22" s="710">
        <f>'Приложение 2.4 -КС'!G33</f>
        <v>59822</v>
      </c>
      <c r="G22" s="717"/>
      <c r="H22" s="633"/>
      <c r="I22" s="625"/>
      <c r="J22" s="46"/>
      <c r="K22" s="46"/>
      <c r="L22" s="46"/>
      <c r="M22" s="46"/>
      <c r="N22" s="46"/>
    </row>
    <row r="23" spans="1:14" ht="24.75" customHeight="1" thickBot="1">
      <c r="A23" s="743" t="s">
        <v>116</v>
      </c>
      <c r="B23" s="744"/>
      <c r="C23" s="583"/>
      <c r="D23" s="745"/>
      <c r="E23" s="585"/>
      <c r="F23" s="713"/>
      <c r="G23" s="719"/>
      <c r="H23" s="633"/>
      <c r="I23" s="625"/>
      <c r="J23" s="46"/>
      <c r="K23" s="46"/>
      <c r="L23" s="46"/>
      <c r="M23" s="46"/>
      <c r="N23" s="46"/>
    </row>
    <row r="24" spans="1:14" ht="22.5" customHeight="1" thickBot="1">
      <c r="A24" s="908" t="s">
        <v>199</v>
      </c>
      <c r="B24" s="909"/>
      <c r="C24" s="909"/>
      <c r="D24" s="909"/>
      <c r="E24" s="909"/>
      <c r="F24" s="909"/>
      <c r="G24" s="910"/>
      <c r="H24" s="633"/>
      <c r="I24" s="625"/>
      <c r="J24" s="46"/>
      <c r="K24" s="46"/>
      <c r="L24" s="46"/>
      <c r="M24" s="46"/>
      <c r="N24" s="46"/>
    </row>
    <row r="25" spans="1:14" ht="22.5" customHeight="1" thickBot="1">
      <c r="A25" s="746" t="s">
        <v>220</v>
      </c>
      <c r="B25" s="738">
        <f>ROUND('приложение 1'!M11,0)</f>
        <v>40</v>
      </c>
      <c r="C25" s="739">
        <f>550000+450000</f>
        <v>1000000</v>
      </c>
      <c r="D25" s="738">
        <f>ROUND('приложение 1'!M10,)</f>
        <v>2375</v>
      </c>
      <c r="E25" s="740">
        <f>G25-C25</f>
        <v>42775876.52</v>
      </c>
      <c r="F25" s="741">
        <f>B25+D25</f>
        <v>2415</v>
      </c>
      <c r="G25" s="742">
        <v>43775876.52</v>
      </c>
      <c r="H25" s="635">
        <v>36938987.96</v>
      </c>
      <c r="I25" s="628">
        <f>H25-G25</f>
        <v>-6836888.560000002</v>
      </c>
      <c r="J25" s="46"/>
      <c r="K25" s="46"/>
      <c r="L25" s="46"/>
      <c r="M25" s="46"/>
      <c r="N25" s="46"/>
    </row>
    <row r="26" spans="1:14" ht="22.5" customHeight="1" thickBot="1">
      <c r="A26" s="665" t="s">
        <v>200</v>
      </c>
      <c r="B26" s="666">
        <f>'Приложение 2.5 -ДС '!G27</f>
        <v>0</v>
      </c>
      <c r="C26" s="594"/>
      <c r="D26" s="667">
        <f>'Приложение 2.5 -ДС '!G26</f>
        <v>22386.5</v>
      </c>
      <c r="E26" s="668"/>
      <c r="F26" s="714">
        <f>'Приложение 2.5 -ДС '!G28</f>
        <v>22386.5</v>
      </c>
      <c r="G26" s="716"/>
      <c r="H26" s="633"/>
      <c r="I26" s="625"/>
      <c r="J26" s="46"/>
      <c r="K26" s="46"/>
      <c r="L26" s="46"/>
      <c r="M26" s="46"/>
      <c r="N26" s="46"/>
    </row>
    <row r="27" spans="1:14" ht="32.25" customHeight="1" thickBot="1">
      <c r="A27" s="669" t="s">
        <v>221</v>
      </c>
      <c r="B27" s="670"/>
      <c r="C27" s="671">
        <f>C8+C10+C15+C19+C21+C25</f>
        <v>34700000</v>
      </c>
      <c r="D27" s="591"/>
      <c r="E27" s="672">
        <f>E8+E10+E15+E19+E21+E25</f>
        <v>494150872.33</v>
      </c>
      <c r="F27" s="673"/>
      <c r="G27" s="664">
        <f>G8+G10+G15+G19+G21+G25</f>
        <v>528850872.33</v>
      </c>
      <c r="H27" s="636">
        <f>H8+H10+H15+H19+H21+H25</f>
        <v>448589528.48999995</v>
      </c>
      <c r="I27" s="625"/>
      <c r="J27" s="46"/>
      <c r="K27" s="46"/>
      <c r="L27" s="46"/>
      <c r="M27" s="46"/>
      <c r="N27" s="46"/>
    </row>
    <row r="28" spans="1:14" ht="32.25" customHeight="1">
      <c r="A28" s="578"/>
      <c r="B28" s="69"/>
      <c r="C28" s="579"/>
      <c r="D28" s="70"/>
      <c r="E28" s="119"/>
      <c r="F28" s="629"/>
      <c r="G28" s="119"/>
      <c r="H28" s="630">
        <f>G28-H27</f>
        <v>-448589528.48999995</v>
      </c>
      <c r="I28" s="46"/>
      <c r="J28" s="46"/>
      <c r="K28" s="46"/>
      <c r="L28" s="46"/>
      <c r="M28" s="46"/>
      <c r="N28" s="46"/>
    </row>
    <row r="29" spans="1:14" ht="20.25" customHeight="1">
      <c r="A29" s="21"/>
      <c r="B29" s="59"/>
      <c r="C29" s="57"/>
      <c r="D29" s="58"/>
      <c r="E29" s="57"/>
      <c r="F29" s="48"/>
      <c r="G29" s="46"/>
      <c r="H29" s="627"/>
      <c r="I29" s="46"/>
      <c r="J29" s="46"/>
      <c r="K29" s="46"/>
      <c r="L29" s="46"/>
      <c r="M29" s="46"/>
      <c r="N29" s="46"/>
    </row>
    <row r="30" spans="1:14" ht="20.25" customHeight="1">
      <c r="A30" s="21"/>
      <c r="B30" s="59"/>
      <c r="C30" s="57"/>
      <c r="D30" s="58"/>
      <c r="E30" s="57"/>
      <c r="F30" s="48"/>
      <c r="G30" s="46"/>
      <c r="H30" s="627"/>
      <c r="I30" s="46"/>
      <c r="J30" s="46"/>
      <c r="K30" s="46"/>
      <c r="L30" s="46"/>
      <c r="M30" s="46"/>
      <c r="N30" s="46"/>
    </row>
    <row r="31" spans="1:14" ht="20.25" customHeight="1">
      <c r="A31" s="21"/>
      <c r="B31" s="59"/>
      <c r="C31" s="57"/>
      <c r="D31" s="58"/>
      <c r="E31" s="57"/>
      <c r="F31" s="48"/>
      <c r="G31" s="46"/>
      <c r="H31" s="627"/>
      <c r="I31" s="46"/>
      <c r="J31" s="46"/>
      <c r="K31" s="46"/>
      <c r="L31" s="46"/>
      <c r="M31" s="46"/>
      <c r="N31" s="46"/>
    </row>
    <row r="32" spans="1:14" ht="20.25" customHeight="1">
      <c r="A32" s="21"/>
      <c r="B32" s="59"/>
      <c r="C32" s="57"/>
      <c r="D32" s="58"/>
      <c r="E32" s="57"/>
      <c r="F32" s="48"/>
      <c r="G32" s="46"/>
      <c r="H32" s="627"/>
      <c r="I32" s="46"/>
      <c r="J32" s="46"/>
      <c r="K32" s="46"/>
      <c r="L32" s="46"/>
      <c r="M32" s="46"/>
      <c r="N32" s="46"/>
    </row>
    <row r="33" spans="1:14" ht="20.25" customHeight="1">
      <c r="A33" s="21"/>
      <c r="B33" s="59"/>
      <c r="C33" s="57"/>
      <c r="D33" s="58"/>
      <c r="E33" s="57"/>
      <c r="F33" s="48"/>
      <c r="G33" s="46"/>
      <c r="H33" s="627"/>
      <c r="I33" s="46"/>
      <c r="J33" s="46"/>
      <c r="K33" s="46"/>
      <c r="L33" s="46"/>
      <c r="M33" s="46"/>
      <c r="N33" s="46"/>
    </row>
    <row r="34" spans="1:14" ht="20.25" customHeight="1">
      <c r="A34" s="21"/>
      <c r="B34" s="59"/>
      <c r="C34" s="57"/>
      <c r="D34" s="58"/>
      <c r="E34" s="57"/>
      <c r="F34" s="48"/>
      <c r="G34" s="46"/>
      <c r="H34" s="627"/>
      <c r="I34" s="46"/>
      <c r="J34" s="46"/>
      <c r="K34" s="46"/>
      <c r="L34" s="46"/>
      <c r="M34" s="46"/>
      <c r="N34" s="46"/>
    </row>
  </sheetData>
  <sheetProtection/>
  <mergeCells count="9">
    <mergeCell ref="E1:G1"/>
    <mergeCell ref="A20:G20"/>
    <mergeCell ref="A24:G24"/>
    <mergeCell ref="A9:G9"/>
    <mergeCell ref="A3:F3"/>
    <mergeCell ref="D6:E6"/>
    <mergeCell ref="A5:A6"/>
    <mergeCell ref="B5:C6"/>
    <mergeCell ref="F5:G6"/>
  </mergeCells>
  <printOptions/>
  <pageMargins left="0.34" right="0.17" top="0.32" bottom="0.36" header="0.31496062992125984" footer="0.31496062992125984"/>
  <pageSetup fitToHeight="4" horizontalDpi="600" verticalDpi="600" orientation="landscape" paperSize="9" scale="65" r:id="rId1"/>
  <rowBreaks count="1" manualBreakCount="1">
    <brk id="28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Q33"/>
  <sheetViews>
    <sheetView view="pageBreakPreview" zoomScale="80" zoomScaleNormal="80" zoomScaleSheetLayoutView="80" zoomScalePageLayoutView="0" workbookViewId="0" topLeftCell="A1">
      <selection activeCell="J7" sqref="J7"/>
    </sheetView>
  </sheetViews>
  <sheetFormatPr defaultColWidth="9.140625" defaultRowHeight="15"/>
  <cols>
    <col min="1" max="1" width="1.7109375" style="1" customWidth="1"/>
    <col min="2" max="2" width="21.7109375" style="1" customWidth="1"/>
    <col min="3" max="3" width="15.00390625" style="1" customWidth="1"/>
    <col min="4" max="4" width="16.28125" style="1" customWidth="1"/>
    <col min="5" max="6" width="15.421875" style="1" customWidth="1"/>
    <col min="7" max="7" width="17.00390625" style="1" customWidth="1"/>
    <col min="8" max="8" width="16.7109375" style="1" customWidth="1"/>
    <col min="9" max="9" width="15.7109375" style="1" customWidth="1"/>
    <col min="10" max="10" width="16.28125" style="1" customWidth="1"/>
    <col min="11" max="11" width="7.00390625" style="1" hidden="1" customWidth="1"/>
    <col min="12" max="12" width="15.28125" style="1" customWidth="1"/>
    <col min="13" max="13" width="0.13671875" style="1" hidden="1" customWidth="1"/>
    <col min="14" max="14" width="15.8515625" style="1" customWidth="1"/>
    <col min="15" max="15" width="17.00390625" style="1" customWidth="1"/>
    <col min="16" max="16" width="21.57421875" style="1" customWidth="1"/>
    <col min="17" max="17" width="15.57421875" style="1" customWidth="1"/>
    <col min="18" max="16384" width="9.140625" style="1" customWidth="1"/>
  </cols>
  <sheetData>
    <row r="2" spans="8:15" ht="74.25" customHeight="1">
      <c r="H2" s="141"/>
      <c r="J2" s="944" t="s">
        <v>296</v>
      </c>
      <c r="K2" s="944"/>
      <c r="L2" s="944"/>
      <c r="M2" s="944"/>
      <c r="N2" s="944"/>
      <c r="O2" s="944"/>
    </row>
    <row r="5" spans="2:15" ht="17.25">
      <c r="B5" s="945" t="s">
        <v>278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</row>
    <row r="6" spans="2:15" ht="12.7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ht="25.5" customHeight="1" thickBo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6" customFormat="1" ht="33.75" customHeight="1">
      <c r="B9" s="925"/>
      <c r="C9" s="935" t="s">
        <v>95</v>
      </c>
      <c r="D9" s="941" t="s">
        <v>96</v>
      </c>
      <c r="E9" s="942"/>
      <c r="F9" s="942"/>
      <c r="G9" s="943"/>
      <c r="H9" s="935" t="s">
        <v>3</v>
      </c>
      <c r="I9" s="935" t="s">
        <v>116</v>
      </c>
      <c r="J9" s="935" t="s">
        <v>98</v>
      </c>
      <c r="K9" s="727" t="s">
        <v>99</v>
      </c>
      <c r="L9" s="935" t="s">
        <v>100</v>
      </c>
      <c r="M9" s="728" t="s">
        <v>101</v>
      </c>
      <c r="N9" s="935" t="s">
        <v>102</v>
      </c>
      <c r="O9" s="930" t="s">
        <v>4</v>
      </c>
    </row>
    <row r="10" spans="2:15" s="86" customFormat="1" ht="71.25" customHeight="1" thickBot="1">
      <c r="B10" s="926"/>
      <c r="C10" s="936"/>
      <c r="D10" s="729" t="s">
        <v>103</v>
      </c>
      <c r="E10" s="729" t="s">
        <v>105</v>
      </c>
      <c r="F10" s="729" t="s">
        <v>106</v>
      </c>
      <c r="G10" s="730" t="s">
        <v>287</v>
      </c>
      <c r="H10" s="936"/>
      <c r="I10" s="936"/>
      <c r="J10" s="936"/>
      <c r="K10" s="730"/>
      <c r="L10" s="936"/>
      <c r="M10" s="729"/>
      <c r="N10" s="936"/>
      <c r="O10" s="931"/>
    </row>
    <row r="11" spans="2:15" s="146" customFormat="1" ht="36.75" customHeight="1" thickBot="1">
      <c r="B11" s="147" t="s">
        <v>8</v>
      </c>
      <c r="C11" s="148" t="s">
        <v>86</v>
      </c>
      <c r="D11" s="148"/>
      <c r="E11" s="148" t="s">
        <v>145</v>
      </c>
      <c r="F11" s="148" t="s">
        <v>145</v>
      </c>
      <c r="G11" s="149" t="s">
        <v>5</v>
      </c>
      <c r="H11" s="150" t="s">
        <v>6</v>
      </c>
      <c r="I11" s="148" t="s">
        <v>7</v>
      </c>
      <c r="J11" s="148" t="s">
        <v>220</v>
      </c>
      <c r="K11" s="149"/>
      <c r="L11" s="148"/>
      <c r="M11" s="148"/>
      <c r="N11" s="148"/>
      <c r="O11" s="151"/>
    </row>
    <row r="12" spans="2:16" s="146" customFormat="1" ht="63" customHeight="1" thickBot="1">
      <c r="B12" s="152" t="s">
        <v>141</v>
      </c>
      <c r="C12" s="153">
        <f>'приложение 3'!G8</f>
        <v>33303888.72</v>
      </c>
      <c r="D12" s="154">
        <f>G12+E12+F12</f>
        <v>194507717.04000002</v>
      </c>
      <c r="E12" s="155">
        <f>'приложение 3'!G10</f>
        <v>53064201.6</v>
      </c>
      <c r="F12" s="155">
        <f>'приложение 3'!G19</f>
        <v>16188844.68</v>
      </c>
      <c r="G12" s="155">
        <f>'приложение 3'!G15</f>
        <v>125254670.76</v>
      </c>
      <c r="H12" s="156">
        <f>'приложение 3'!G21</f>
        <v>257263390.05</v>
      </c>
      <c r="I12" s="156">
        <v>0</v>
      </c>
      <c r="J12" s="156">
        <f>'приложение 3'!G25</f>
        <v>43775876.52</v>
      </c>
      <c r="K12" s="156"/>
      <c r="L12" s="156">
        <v>0</v>
      </c>
      <c r="M12" s="156"/>
      <c r="N12" s="156">
        <f>7412263.08</f>
        <v>7412263.08</v>
      </c>
      <c r="O12" s="157">
        <f>C12+D12+H12+J12+N12</f>
        <v>536263135.41</v>
      </c>
      <c r="P12" s="158"/>
    </row>
    <row r="13" spans="2:17" s="86" customFormat="1" ht="53.25" customHeight="1" thickBot="1">
      <c r="B13" s="142" t="s">
        <v>108</v>
      </c>
      <c r="C13" s="143">
        <f>C12</f>
        <v>33303888.72</v>
      </c>
      <c r="D13" s="144">
        <f aca="true" t="shared" si="0" ref="D13:O13">D12</f>
        <v>194507717.04000002</v>
      </c>
      <c r="E13" s="144">
        <f>E12</f>
        <v>53064201.6</v>
      </c>
      <c r="F13" s="144">
        <f>F12</f>
        <v>16188844.68</v>
      </c>
      <c r="G13" s="144">
        <f t="shared" si="0"/>
        <v>125254670.76</v>
      </c>
      <c r="H13" s="144">
        <f t="shared" si="0"/>
        <v>257263390.05</v>
      </c>
      <c r="I13" s="144">
        <f t="shared" si="0"/>
        <v>0</v>
      </c>
      <c r="J13" s="144">
        <f t="shared" si="0"/>
        <v>43775876.52</v>
      </c>
      <c r="K13" s="144">
        <f t="shared" si="0"/>
        <v>0</v>
      </c>
      <c r="L13" s="144">
        <f t="shared" si="0"/>
        <v>0</v>
      </c>
      <c r="M13" s="144">
        <f t="shared" si="0"/>
        <v>0</v>
      </c>
      <c r="N13" s="144">
        <f>N12</f>
        <v>7412263.08</v>
      </c>
      <c r="O13" s="145">
        <f t="shared" si="0"/>
        <v>536263135.41</v>
      </c>
      <c r="P13" s="87"/>
      <c r="Q13" s="87"/>
    </row>
    <row r="14" spans="14:15" ht="12.75">
      <c r="N14" s="6"/>
      <c r="O14" s="5"/>
    </row>
    <row r="15" spans="2:10" ht="12.75" hidden="1">
      <c r="B15" s="7"/>
      <c r="G15" s="5"/>
      <c r="H15" s="8"/>
      <c r="I15" s="8"/>
      <c r="J15" s="8"/>
    </row>
    <row r="16" spans="2:15" ht="12.75" hidden="1">
      <c r="B16" s="929" t="s">
        <v>142</v>
      </c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</row>
    <row r="17" spans="2:15" ht="60" customHeight="1" hidden="1">
      <c r="B17" s="927"/>
      <c r="C17" s="932" t="s">
        <v>95</v>
      </c>
      <c r="D17" s="940" t="s">
        <v>96</v>
      </c>
      <c r="E17" s="940"/>
      <c r="F17" s="940"/>
      <c r="G17" s="940"/>
      <c r="H17" s="932" t="s">
        <v>97</v>
      </c>
      <c r="I17" s="932" t="s">
        <v>116</v>
      </c>
      <c r="J17" s="932" t="s">
        <v>98</v>
      </c>
      <c r="K17" s="2" t="s">
        <v>99</v>
      </c>
      <c r="L17" s="932" t="s">
        <v>100</v>
      </c>
      <c r="M17" s="52" t="s">
        <v>101</v>
      </c>
      <c r="N17" s="932" t="s">
        <v>102</v>
      </c>
      <c r="O17" s="932" t="s">
        <v>113</v>
      </c>
    </row>
    <row r="18" spans="2:15" ht="38.25" customHeight="1" hidden="1">
      <c r="B18" s="928"/>
      <c r="C18" s="933"/>
      <c r="D18" s="52" t="s">
        <v>103</v>
      </c>
      <c r="E18" s="52"/>
      <c r="F18" s="52"/>
      <c r="G18" s="2" t="s">
        <v>104</v>
      </c>
      <c r="H18" s="933"/>
      <c r="I18" s="933"/>
      <c r="J18" s="933"/>
      <c r="K18" s="2"/>
      <c r="L18" s="933"/>
      <c r="M18" s="52"/>
      <c r="N18" s="933"/>
      <c r="O18" s="933"/>
    </row>
    <row r="19" spans="2:15" ht="18" customHeight="1" hidden="1">
      <c r="B19" s="49" t="s">
        <v>141</v>
      </c>
      <c r="C19" s="13">
        <v>62040529.60529471</v>
      </c>
      <c r="D19" s="13">
        <f>SUM(G19:G19)</f>
        <v>351522136.16</v>
      </c>
      <c r="E19" s="13"/>
      <c r="F19" s="13"/>
      <c r="G19" s="14">
        <v>351522136.16</v>
      </c>
      <c r="H19" s="15">
        <v>683764434.2084211</v>
      </c>
      <c r="I19" s="15">
        <v>5588230.59066451</v>
      </c>
      <c r="J19" s="15">
        <v>85704113.38288605</v>
      </c>
      <c r="K19" s="15"/>
      <c r="L19" s="15"/>
      <c r="M19" s="15"/>
      <c r="N19" s="15">
        <f>36093500+14013500</f>
        <v>50107000</v>
      </c>
      <c r="O19" s="15">
        <f>C19+D19+H19+J19+N19</f>
        <v>1233138213.3566017</v>
      </c>
    </row>
    <row r="20" spans="2:15" ht="16.5" customHeight="1" hidden="1">
      <c r="B20" s="49" t="s">
        <v>107</v>
      </c>
      <c r="C20" s="13"/>
      <c r="D20" s="13"/>
      <c r="E20" s="13"/>
      <c r="F20" s="13"/>
      <c r="G20" s="16"/>
      <c r="H20" s="17"/>
      <c r="I20" s="17"/>
      <c r="J20" s="17"/>
      <c r="K20" s="17"/>
      <c r="L20" s="17"/>
      <c r="M20" s="17"/>
      <c r="N20" s="17"/>
      <c r="O20" s="15">
        <v>0</v>
      </c>
    </row>
    <row r="21" spans="2:15" ht="12.75" hidden="1">
      <c r="B21" s="50" t="s">
        <v>108</v>
      </c>
      <c r="C21" s="18">
        <f>C19</f>
        <v>62040529.60529471</v>
      </c>
      <c r="D21" s="18">
        <f aca="true" t="shared" si="1" ref="D21:O21">D19</f>
        <v>351522136.16</v>
      </c>
      <c r="E21" s="18"/>
      <c r="F21" s="18"/>
      <c r="G21" s="18">
        <f t="shared" si="1"/>
        <v>351522136.16</v>
      </c>
      <c r="H21" s="18">
        <f t="shared" si="1"/>
        <v>683764434.2084211</v>
      </c>
      <c r="I21" s="18">
        <f t="shared" si="1"/>
        <v>5588230.59066451</v>
      </c>
      <c r="J21" s="18">
        <f t="shared" si="1"/>
        <v>85704113.38288605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50107000</v>
      </c>
      <c r="O21" s="18">
        <f t="shared" si="1"/>
        <v>1233138213.3566017</v>
      </c>
    </row>
    <row r="22" spans="2:16" ht="12.75" hidden="1">
      <c r="B22" s="6"/>
      <c r="K22" s="6"/>
      <c r="L22" s="6"/>
      <c r="M22" s="6"/>
      <c r="N22" s="6"/>
      <c r="O22" s="6"/>
      <c r="P22" s="5"/>
    </row>
    <row r="23" spans="2:16" ht="12.75" hidden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</row>
    <row r="24" spans="2:15" ht="12.75" hidden="1">
      <c r="B24" s="934" t="s">
        <v>151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</row>
    <row r="25" spans="2:15" ht="35.25" customHeight="1" hidden="1">
      <c r="B25" s="923"/>
      <c r="C25" s="937" t="s">
        <v>95</v>
      </c>
      <c r="D25" s="939" t="s">
        <v>96</v>
      </c>
      <c r="E25" s="939"/>
      <c r="F25" s="939"/>
      <c r="G25" s="939"/>
      <c r="H25" s="937" t="s">
        <v>97</v>
      </c>
      <c r="I25" s="937" t="s">
        <v>116</v>
      </c>
      <c r="J25" s="937" t="s">
        <v>98</v>
      </c>
      <c r="K25" s="19" t="s">
        <v>99</v>
      </c>
      <c r="L25" s="937" t="s">
        <v>100</v>
      </c>
      <c r="M25" s="51" t="s">
        <v>101</v>
      </c>
      <c r="N25" s="937" t="s">
        <v>102</v>
      </c>
      <c r="O25" s="937" t="s">
        <v>113</v>
      </c>
    </row>
    <row r="26" spans="2:15" ht="26.25" hidden="1">
      <c r="B26" s="924"/>
      <c r="C26" s="938"/>
      <c r="D26" s="51" t="s">
        <v>103</v>
      </c>
      <c r="E26" s="51"/>
      <c r="F26" s="51"/>
      <c r="G26" s="19" t="s">
        <v>104</v>
      </c>
      <c r="H26" s="938"/>
      <c r="I26" s="938"/>
      <c r="J26" s="938"/>
      <c r="K26" s="19"/>
      <c r="L26" s="938"/>
      <c r="M26" s="51"/>
      <c r="N26" s="938"/>
      <c r="O26" s="938"/>
    </row>
    <row r="27" spans="2:15" ht="21" customHeight="1" hidden="1">
      <c r="B27" s="49" t="s">
        <v>141</v>
      </c>
      <c r="C27" s="13">
        <v>66400602.152658656</v>
      </c>
      <c r="D27" s="13">
        <f>SUM(G27:G27)</f>
        <v>376226342.02</v>
      </c>
      <c r="E27" s="13"/>
      <c r="F27" s="13"/>
      <c r="G27" s="14">
        <v>376226342.02</v>
      </c>
      <c r="H27" s="15">
        <v>731817901.1504819</v>
      </c>
      <c r="I27" s="15">
        <v>5980959.197942813</v>
      </c>
      <c r="J27" s="15">
        <v>91727210.77316038</v>
      </c>
      <c r="K27" s="15"/>
      <c r="L27" s="15"/>
      <c r="M27" s="15"/>
      <c r="N27" s="15">
        <f>37681700+14630100</f>
        <v>52311800</v>
      </c>
      <c r="O27" s="15">
        <f>C27+D27+H27+J27+N27</f>
        <v>1318483856.096301</v>
      </c>
    </row>
    <row r="28" spans="2:15" ht="18" customHeight="1" hidden="1">
      <c r="B28" s="49" t="s">
        <v>107</v>
      </c>
      <c r="C28" s="13"/>
      <c r="D28" s="13"/>
      <c r="E28" s="13"/>
      <c r="F28" s="13"/>
      <c r="G28" s="16"/>
      <c r="H28" s="17"/>
      <c r="I28" s="17"/>
      <c r="J28" s="17"/>
      <c r="K28" s="17"/>
      <c r="L28" s="17"/>
      <c r="M28" s="17"/>
      <c r="N28" s="17"/>
      <c r="O28" s="15">
        <v>0</v>
      </c>
    </row>
    <row r="29" spans="2:15" ht="18" customHeight="1" hidden="1">
      <c r="B29" s="50" t="s">
        <v>108</v>
      </c>
      <c r="C29" s="18">
        <f>C27</f>
        <v>66400602.152658656</v>
      </c>
      <c r="D29" s="18">
        <f aca="true" t="shared" si="2" ref="D29:O29">D27</f>
        <v>376226342.02</v>
      </c>
      <c r="E29" s="18"/>
      <c r="F29" s="18"/>
      <c r="G29" s="18">
        <f t="shared" si="2"/>
        <v>376226342.02</v>
      </c>
      <c r="H29" s="18">
        <f t="shared" si="2"/>
        <v>731817901.1504819</v>
      </c>
      <c r="I29" s="18">
        <f t="shared" si="2"/>
        <v>5980959.197942813</v>
      </c>
      <c r="J29" s="18">
        <f t="shared" si="2"/>
        <v>91727210.77316038</v>
      </c>
      <c r="K29" s="18">
        <f t="shared" si="2"/>
        <v>0</v>
      </c>
      <c r="L29" s="18">
        <f t="shared" si="2"/>
        <v>0</v>
      </c>
      <c r="M29" s="18">
        <f t="shared" si="2"/>
        <v>0</v>
      </c>
      <c r="N29" s="18">
        <f t="shared" si="2"/>
        <v>52311800</v>
      </c>
      <c r="O29" s="18">
        <f t="shared" si="2"/>
        <v>1318483856.096301</v>
      </c>
    </row>
    <row r="30" spans="2:14" ht="12.75">
      <c r="B30" s="6"/>
      <c r="K30" s="6"/>
      <c r="L30" s="6"/>
      <c r="M30" s="6"/>
      <c r="N30" s="6"/>
    </row>
    <row r="31" spans="3:13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ht="12.75">
      <c r="C32" s="7"/>
    </row>
    <row r="33" spans="3:6" ht="12.75">
      <c r="C33" s="5"/>
      <c r="D33" s="5"/>
      <c r="E33" s="5"/>
      <c r="F33" s="5"/>
    </row>
  </sheetData>
  <sheetProtection/>
  <mergeCells count="31">
    <mergeCell ref="J2:O2"/>
    <mergeCell ref="C9:C10"/>
    <mergeCell ref="L9:L10"/>
    <mergeCell ref="B5:O5"/>
    <mergeCell ref="I9:I10"/>
    <mergeCell ref="N9:N10"/>
    <mergeCell ref="H9:H10"/>
    <mergeCell ref="O17:O18"/>
    <mergeCell ref="D17:G17"/>
    <mergeCell ref="D9:G9"/>
    <mergeCell ref="L17:L18"/>
    <mergeCell ref="H17:H18"/>
    <mergeCell ref="J17:J18"/>
    <mergeCell ref="C17:C18"/>
    <mergeCell ref="I25:I26"/>
    <mergeCell ref="N25:N26"/>
    <mergeCell ref="C25:C26"/>
    <mergeCell ref="D25:G25"/>
    <mergeCell ref="N17:N18"/>
    <mergeCell ref="H25:H26"/>
    <mergeCell ref="J25:J26"/>
    <mergeCell ref="B25:B26"/>
    <mergeCell ref="B9:B10"/>
    <mergeCell ref="B17:B18"/>
    <mergeCell ref="B16:O16"/>
    <mergeCell ref="O9:O10"/>
    <mergeCell ref="I17:I18"/>
    <mergeCell ref="B24:O24"/>
    <mergeCell ref="J9:J10"/>
    <mergeCell ref="L25:L26"/>
    <mergeCell ref="O25:O26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2016-03-28T10:23:27Z</cp:lastPrinted>
  <dcterms:created xsi:type="dcterms:W3CDTF">2006-09-16T00:00:00Z</dcterms:created>
  <dcterms:modified xsi:type="dcterms:W3CDTF">2018-07-25T09:17:44Z</dcterms:modified>
  <cp:category/>
  <cp:version/>
  <cp:contentType/>
  <cp:contentStatus/>
</cp:coreProperties>
</file>